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683~1\AppData\Local\Temp\Rar$DIa7988.37560\"/>
    </mc:Choice>
  </mc:AlternateContent>
  <bookViews>
    <workbookView xWindow="0" yWindow="0" windowWidth="28800" windowHeight="12330"/>
  </bookViews>
  <sheets>
    <sheet name="первоначальный" sheetId="8" r:id="rId1"/>
    <sheet name="зарплата с индексацией" sheetId="9" r:id="rId2"/>
  </sheets>
  <definedNames>
    <definedName name="_xlnm.Print_Titles" localSheetId="0">первоначальный!$4:$5</definedName>
    <definedName name="_xlnm.Print_Area" localSheetId="0">первоначальный!$A$1:$M$222</definedName>
  </definedNames>
  <calcPr calcId="162913"/>
</workbook>
</file>

<file path=xl/calcChain.xml><?xml version="1.0" encoding="utf-8"?>
<calcChain xmlns="http://schemas.openxmlformats.org/spreadsheetml/2006/main">
  <c r="M49" i="8" l="1"/>
  <c r="L156" i="8"/>
  <c r="K150" i="8"/>
  <c r="K156" i="8"/>
  <c r="K153" i="8"/>
  <c r="L147" i="8" l="1"/>
  <c r="K179" i="8"/>
  <c r="K176" i="8"/>
  <c r="K175" i="8"/>
  <c r="M9" i="8" l="1"/>
  <c r="L9" i="8"/>
  <c r="K9" i="8"/>
  <c r="M212" i="8"/>
  <c r="M211" i="8" s="1"/>
  <c r="M210" i="8" s="1"/>
  <c r="L212" i="8"/>
  <c r="L211" i="8" s="1"/>
  <c r="L210" i="8" s="1"/>
  <c r="K212" i="8"/>
  <c r="K211" i="8" s="1"/>
  <c r="K210" i="8" s="1"/>
  <c r="M205" i="8"/>
  <c r="L205" i="8"/>
  <c r="K205" i="8"/>
  <c r="M199" i="8"/>
  <c r="L199" i="8"/>
  <c r="K199" i="8"/>
  <c r="K195" i="8"/>
  <c r="M193" i="8"/>
  <c r="M192" i="8" s="1"/>
  <c r="L193" i="8"/>
  <c r="K193" i="8"/>
  <c r="K192" i="8" s="1"/>
  <c r="L192" i="8"/>
  <c r="M186" i="8"/>
  <c r="L186" i="8"/>
  <c r="K186" i="8"/>
  <c r="M180" i="8"/>
  <c r="L180" i="8"/>
  <c r="K180" i="8"/>
  <c r="M173" i="8"/>
  <c r="M172" i="8" s="1"/>
  <c r="L173" i="8"/>
  <c r="L172" i="8" s="1"/>
  <c r="K173" i="8"/>
  <c r="K172" i="8" s="1"/>
  <c r="M162" i="8"/>
  <c r="L162" i="8"/>
  <c r="K162" i="8"/>
  <c r="M159" i="8"/>
  <c r="L159" i="8"/>
  <c r="K159" i="8"/>
  <c r="M154" i="8"/>
  <c r="M152" i="8" s="1"/>
  <c r="L154" i="8"/>
  <c r="L152" i="8" s="1"/>
  <c r="K154" i="8"/>
  <c r="K152" i="8" s="1"/>
  <c r="M145" i="8"/>
  <c r="L145" i="8"/>
  <c r="K145" i="8"/>
  <c r="M141" i="8"/>
  <c r="L141" i="8"/>
  <c r="K141" i="8"/>
  <c r="M137" i="8"/>
  <c r="L137" i="8"/>
  <c r="K137" i="8"/>
  <c r="M132" i="8"/>
  <c r="L132" i="8"/>
  <c r="K132" i="8"/>
  <c r="M126" i="8"/>
  <c r="L126" i="8"/>
  <c r="K126" i="8"/>
  <c r="M122" i="8"/>
  <c r="L122" i="8"/>
  <c r="K122" i="8"/>
  <c r="M118" i="8"/>
  <c r="L118" i="8"/>
  <c r="K118" i="8"/>
  <c r="K117" i="8" s="1"/>
  <c r="M111" i="8"/>
  <c r="L111" i="8"/>
  <c r="L106" i="8" s="1"/>
  <c r="K111" i="8"/>
  <c r="M106" i="8"/>
  <c r="M102" i="8" s="1"/>
  <c r="K106" i="8"/>
  <c r="M103" i="8"/>
  <c r="L103" i="8"/>
  <c r="K103" i="8"/>
  <c r="M100" i="8"/>
  <c r="L100" i="8"/>
  <c r="K100" i="8"/>
  <c r="M96" i="8"/>
  <c r="L96" i="8"/>
  <c r="K96" i="8"/>
  <c r="M91" i="8"/>
  <c r="L91" i="8"/>
  <c r="L88" i="8" s="1"/>
  <c r="K91" i="8"/>
  <c r="K88" i="8" s="1"/>
  <c r="M88" i="8"/>
  <c r="M82" i="8"/>
  <c r="L82" i="8"/>
  <c r="K82" i="8"/>
  <c r="M79" i="8"/>
  <c r="L79" i="8"/>
  <c r="K79" i="8"/>
  <c r="M76" i="8"/>
  <c r="L76" i="8"/>
  <c r="K76" i="8"/>
  <c r="M68" i="8"/>
  <c r="L68" i="8"/>
  <c r="K68" i="8"/>
  <c r="M63" i="8"/>
  <c r="L63" i="8"/>
  <c r="K63" i="8"/>
  <c r="M59" i="8"/>
  <c r="L59" i="8"/>
  <c r="K59" i="8"/>
  <c r="M44" i="8"/>
  <c r="L44" i="8"/>
  <c r="L40" i="8" s="1"/>
  <c r="K44" i="8"/>
  <c r="M40" i="8"/>
  <c r="K40" i="8"/>
  <c r="M33" i="8"/>
  <c r="L33" i="8"/>
  <c r="K33" i="8"/>
  <c r="J9" i="8"/>
  <c r="I9" i="8"/>
  <c r="H9" i="8"/>
  <c r="K102" i="8" l="1"/>
  <c r="L117" i="8"/>
  <c r="L116" i="8" s="1"/>
  <c r="M117" i="8"/>
  <c r="M116" i="8" s="1"/>
  <c r="L102" i="8"/>
  <c r="K116" i="8"/>
  <c r="H195" i="8"/>
  <c r="H148" i="8"/>
  <c r="H146" i="8"/>
  <c r="J44" i="8" l="1"/>
  <c r="I44" i="8"/>
  <c r="H44" i="8"/>
  <c r="F36" i="8"/>
  <c r="G165" i="8"/>
  <c r="G171" i="8" s="1"/>
  <c r="G158" i="8"/>
  <c r="G136" i="8"/>
  <c r="G147" i="8"/>
  <c r="G148" i="8"/>
  <c r="G94" i="8"/>
  <c r="G91" i="8" s="1"/>
  <c r="G9" i="8"/>
  <c r="G90" i="8"/>
  <c r="G151" i="8" l="1"/>
  <c r="G88" i="8"/>
  <c r="G67" i="8"/>
  <c r="G57" i="8"/>
  <c r="G51" i="8"/>
  <c r="F44" i="8"/>
  <c r="G44" i="8"/>
  <c r="G55" i="8"/>
  <c r="G38" i="8"/>
  <c r="G36" i="8"/>
  <c r="F212" i="8"/>
  <c r="F211" i="8" s="1"/>
  <c r="F210" i="8" s="1"/>
  <c r="F205" i="8"/>
  <c r="F199" i="8"/>
  <c r="F193" i="8"/>
  <c r="F186" i="8"/>
  <c r="F180" i="8"/>
  <c r="F173" i="8"/>
  <c r="F162" i="8"/>
  <c r="F161" i="8"/>
  <c r="F159" i="8" s="1"/>
  <c r="F154" i="8"/>
  <c r="F152" i="8" s="1"/>
  <c r="F145" i="8"/>
  <c r="F141" i="8"/>
  <c r="F137" i="8"/>
  <c r="F132" i="8"/>
  <c r="F126" i="8"/>
  <c r="F122" i="8"/>
  <c r="F118" i="8"/>
  <c r="F111" i="8"/>
  <c r="F106" i="8" s="1"/>
  <c r="F103" i="8"/>
  <c r="F100" i="8"/>
  <c r="F96" i="8"/>
  <c r="F91" i="8"/>
  <c r="F88" i="8" s="1"/>
  <c r="F82" i="8"/>
  <c r="F79" i="8"/>
  <c r="F76" i="8"/>
  <c r="F68" i="8"/>
  <c r="F63" i="8"/>
  <c r="F59" i="8"/>
  <c r="F42" i="8"/>
  <c r="F33" i="8"/>
  <c r="F30" i="8"/>
  <c r="F24" i="8"/>
  <c r="F20" i="8"/>
  <c r="F9" i="8"/>
  <c r="F40" i="8" l="1"/>
  <c r="F27" i="8" s="1"/>
  <c r="F19" i="8" s="1"/>
  <c r="F117" i="8"/>
  <c r="G58" i="8"/>
  <c r="F172" i="8"/>
  <c r="F11" i="8"/>
  <c r="F12" i="8"/>
  <c r="F192" i="8"/>
  <c r="F102" i="8"/>
  <c r="F10" i="8"/>
  <c r="F14" i="8"/>
  <c r="F8" i="8" l="1"/>
  <c r="F116" i="8"/>
  <c r="F15" i="8" l="1"/>
  <c r="F6" i="8" s="1"/>
  <c r="F18" i="8"/>
  <c r="F7" i="8" s="1"/>
  <c r="J199" i="8"/>
  <c r="I199" i="8"/>
  <c r="H199" i="8"/>
  <c r="G199" i="8"/>
  <c r="J111" i="8" l="1"/>
  <c r="J106" i="8" s="1"/>
  <c r="I111" i="8"/>
  <c r="I10" i="8" s="1"/>
  <c r="H111" i="8"/>
  <c r="H106" i="8" s="1"/>
  <c r="G111" i="8"/>
  <c r="G10" i="8" l="1"/>
  <c r="G106" i="8"/>
  <c r="K10" i="8"/>
  <c r="H10" i="8"/>
  <c r="L10" i="8"/>
  <c r="M10" i="8"/>
  <c r="J10" i="8"/>
  <c r="I106" i="8"/>
  <c r="J63" i="8"/>
  <c r="I63" i="8"/>
  <c r="H63" i="8"/>
  <c r="G63" i="8"/>
  <c r="G205" i="8" l="1"/>
  <c r="G193" i="8"/>
  <c r="G186" i="8"/>
  <c r="G180" i="8"/>
  <c r="G173" i="8"/>
  <c r="J162" i="8"/>
  <c r="I162" i="8"/>
  <c r="H162" i="8"/>
  <c r="G162" i="8"/>
  <c r="G159" i="8"/>
  <c r="G145" i="8"/>
  <c r="J122" i="8"/>
  <c r="I122" i="8"/>
  <c r="H122" i="8"/>
  <c r="J132" i="8"/>
  <c r="I132" i="8"/>
  <c r="H132" i="8"/>
  <c r="G132" i="8"/>
  <c r="G126" i="8"/>
  <c r="G122" i="8"/>
  <c r="G118" i="8"/>
  <c r="G103" i="8"/>
  <c r="J145" i="8"/>
  <c r="I145" i="8"/>
  <c r="H145" i="8"/>
  <c r="G212" i="8"/>
  <c r="G211" i="8" s="1"/>
  <c r="G100" i="8"/>
  <c r="G82" i="8"/>
  <c r="G96" i="8"/>
  <c r="G79" i="8"/>
  <c r="G76" i="8"/>
  <c r="G68" i="8"/>
  <c r="G33" i="8"/>
  <c r="G30" i="8"/>
  <c r="G24" i="8"/>
  <c r="G20" i="8"/>
  <c r="G14" i="8"/>
  <c r="J59" i="8"/>
  <c r="I59" i="8"/>
  <c r="H59" i="8"/>
  <c r="G59" i="8"/>
  <c r="G192" i="8" l="1"/>
  <c r="G117" i="8"/>
  <c r="G12" i="8" s="1"/>
  <c r="G172" i="8"/>
  <c r="G40" i="8"/>
  <c r="G27" i="8" s="1"/>
  <c r="G19" i="8" s="1"/>
  <c r="G102" i="8"/>
  <c r="G210" i="8"/>
  <c r="G11" i="8"/>
  <c r="G8" i="8" l="1"/>
  <c r="M14" i="8" l="1"/>
  <c r="L14" i="8"/>
  <c r="K14" i="8"/>
  <c r="I14" i="8"/>
  <c r="H14" i="8"/>
  <c r="J14" i="8"/>
  <c r="J186" i="8"/>
  <c r="I186" i="8"/>
  <c r="H186" i="8"/>
  <c r="J180" i="8"/>
  <c r="I180" i="8"/>
  <c r="H180" i="8"/>
  <c r="H12" i="9"/>
  <c r="E12" i="9"/>
  <c r="I12" i="9" s="1"/>
  <c r="J12" i="9" s="1"/>
  <c r="H11" i="9"/>
  <c r="E11" i="9"/>
  <c r="H10" i="9"/>
  <c r="E10" i="9"/>
  <c r="H8" i="9"/>
  <c r="E8" i="9"/>
  <c r="I10" i="9" l="1"/>
  <c r="J10" i="9" s="1"/>
  <c r="I11" i="9"/>
  <c r="J11" i="9" s="1"/>
  <c r="I8" i="9"/>
  <c r="J8" i="9" s="1"/>
  <c r="J118" i="8"/>
  <c r="I118" i="8"/>
  <c r="H118" i="8"/>
  <c r="J91" i="8"/>
  <c r="J88" i="8" s="1"/>
  <c r="I91" i="8"/>
  <c r="I88" i="8" s="1"/>
  <c r="H91" i="8"/>
  <c r="H88" i="8" s="1"/>
  <c r="I13" i="9" l="1"/>
  <c r="J13" i="9" s="1"/>
  <c r="J154" i="8"/>
  <c r="I154" i="8"/>
  <c r="H154" i="8"/>
  <c r="J126" i="8"/>
  <c r="J117" i="8" s="1"/>
  <c r="I126" i="8"/>
  <c r="I117" i="8" s="1"/>
  <c r="I14" i="9" l="1"/>
  <c r="J14" i="9" s="1"/>
  <c r="H126" i="8"/>
  <c r="H117" i="8" s="1"/>
  <c r="J212" i="8"/>
  <c r="I212" i="8"/>
  <c r="H212" i="8"/>
  <c r="J211" i="8" l="1"/>
  <c r="J11" i="8" s="1"/>
  <c r="M11" i="8"/>
  <c r="L11" i="8"/>
  <c r="I211" i="8"/>
  <c r="I11" i="8" s="1"/>
  <c r="H211" i="8"/>
  <c r="H11" i="8" s="1"/>
  <c r="K11" i="8"/>
  <c r="J205" i="8"/>
  <c r="I205" i="8"/>
  <c r="H205" i="8"/>
  <c r="J193" i="8"/>
  <c r="I193" i="8"/>
  <c r="H193" i="8"/>
  <c r="J173" i="8"/>
  <c r="J172" i="8" s="1"/>
  <c r="I173" i="8"/>
  <c r="I172" i="8" s="1"/>
  <c r="H173" i="8"/>
  <c r="H172" i="8" s="1"/>
  <c r="J159" i="8"/>
  <c r="I159" i="8"/>
  <c r="H159" i="8"/>
  <c r="J152" i="8"/>
  <c r="I152" i="8"/>
  <c r="H152" i="8"/>
  <c r="J141" i="8"/>
  <c r="I141" i="8"/>
  <c r="H141" i="8"/>
  <c r="J137" i="8"/>
  <c r="I137" i="8"/>
  <c r="H137" i="8"/>
  <c r="J103" i="8"/>
  <c r="I103" i="8"/>
  <c r="H103" i="8"/>
  <c r="J100" i="8"/>
  <c r="I100" i="8"/>
  <c r="H100" i="8"/>
  <c r="M12" i="8"/>
  <c r="L12" i="8"/>
  <c r="K12" i="8"/>
  <c r="J96" i="8"/>
  <c r="J12" i="8" s="1"/>
  <c r="I96" i="8"/>
  <c r="I12" i="8" s="1"/>
  <c r="H96" i="8"/>
  <c r="H12" i="8" s="1"/>
  <c r="J82" i="8"/>
  <c r="I82" i="8"/>
  <c r="H82" i="8"/>
  <c r="J79" i="8"/>
  <c r="I79" i="8"/>
  <c r="H79" i="8"/>
  <c r="J76" i="8"/>
  <c r="I76" i="8"/>
  <c r="H76" i="8"/>
  <c r="J68" i="8"/>
  <c r="I68" i="8"/>
  <c r="H68" i="8"/>
  <c r="J40" i="8"/>
  <c r="I40" i="8"/>
  <c r="H40" i="8"/>
  <c r="J33" i="8"/>
  <c r="I33" i="8"/>
  <c r="H33" i="8"/>
  <c r="M30" i="8"/>
  <c r="L30" i="8"/>
  <c r="K30" i="8"/>
  <c r="K27" i="8" s="1"/>
  <c r="J30" i="8"/>
  <c r="I30" i="8"/>
  <c r="H30" i="8"/>
  <c r="M24" i="8"/>
  <c r="L24" i="8"/>
  <c r="K24" i="8"/>
  <c r="J24" i="8"/>
  <c r="I24" i="8"/>
  <c r="H24" i="8"/>
  <c r="M20" i="8"/>
  <c r="L20" i="8"/>
  <c r="K20" i="8"/>
  <c r="J20" i="8"/>
  <c r="I20" i="8"/>
  <c r="H20" i="8"/>
  <c r="M27" i="8" l="1"/>
  <c r="M19" i="8" s="1"/>
  <c r="M15" i="8" s="1"/>
  <c r="M16" i="8" s="1"/>
  <c r="L27" i="8"/>
  <c r="L19" i="8" s="1"/>
  <c r="L15" i="8" s="1"/>
  <c r="L16" i="8" s="1"/>
  <c r="L17" i="8" s="1"/>
  <c r="K19" i="8"/>
  <c r="J192" i="8"/>
  <c r="J116" i="8" s="1"/>
  <c r="I192" i="8"/>
  <c r="I116" i="8" s="1"/>
  <c r="H192" i="8"/>
  <c r="H116" i="8" s="1"/>
  <c r="I102" i="8"/>
  <c r="J102" i="8"/>
  <c r="H102" i="8"/>
  <c r="H27" i="8"/>
  <c r="H19" i="8" s="1"/>
  <c r="I27" i="8"/>
  <c r="I19" i="8" s="1"/>
  <c r="J27" i="8"/>
  <c r="J19" i="8" s="1"/>
  <c r="J210" i="8"/>
  <c r="H210" i="8"/>
  <c r="I210" i="8"/>
  <c r="H18" i="8" l="1"/>
  <c r="H7" i="8" s="1"/>
  <c r="I18" i="8"/>
  <c r="J18" i="8"/>
  <c r="M18" i="8"/>
  <c r="M7" i="8" s="1"/>
  <c r="L18" i="8"/>
  <c r="L7" i="8" s="1"/>
  <c r="K18" i="8"/>
  <c r="K7" i="8" s="1"/>
  <c r="M8" i="8"/>
  <c r="H8" i="8"/>
  <c r="I8" i="8"/>
  <c r="L8" i="8"/>
  <c r="K8" i="8"/>
  <c r="J8" i="8"/>
  <c r="I7" i="8" l="1"/>
  <c r="J7" i="8"/>
  <c r="J15" i="8"/>
  <c r="J6" i="8" s="1"/>
  <c r="K15" i="8"/>
  <c r="K6" i="8" s="1"/>
  <c r="H15" i="8"/>
  <c r="H6" i="8" s="1"/>
  <c r="I15" i="8"/>
  <c r="I6" i="8" s="1"/>
  <c r="L6" i="8" l="1"/>
  <c r="M17" i="8"/>
  <c r="M6" i="8"/>
  <c r="G154" i="8"/>
  <c r="G152" i="8" s="1"/>
  <c r="G116" i="8" s="1"/>
  <c r="G18" i="8" s="1"/>
  <c r="G7" i="8" l="1"/>
  <c r="G15" i="8"/>
  <c r="G6" i="8" s="1"/>
</calcChain>
</file>

<file path=xl/sharedStrings.xml><?xml version="1.0" encoding="utf-8"?>
<sst xmlns="http://schemas.openxmlformats.org/spreadsheetml/2006/main" count="599" uniqueCount="261">
  <si>
    <t>Единица измерения: руб.</t>
  </si>
  <si>
    <t>Наименование показателя</t>
  </si>
  <si>
    <t>РП</t>
  </si>
  <si>
    <t>Ц.ст.</t>
  </si>
  <si>
    <t>ВР</t>
  </si>
  <si>
    <t>Доп.кл.</t>
  </si>
  <si>
    <t>по расчетам поселений</t>
  </si>
  <si>
    <t>к утверждению</t>
  </si>
  <si>
    <t xml:space="preserve">Дефицит (профицит бюджета) </t>
  </si>
  <si>
    <t>Трансферты за счет средств бюджета МР</t>
  </si>
  <si>
    <t>Дотация на выравнивание уровня бюджетной обеспеченности</t>
  </si>
  <si>
    <t>Расходы бюджета -  всего</t>
  </si>
  <si>
    <t>0103</t>
  </si>
  <si>
    <t>000</t>
  </si>
  <si>
    <t>Компенсационные выплаты главе поселения</t>
  </si>
  <si>
    <t>123</t>
  </si>
  <si>
    <t>канцелярские товары д/сельской Думы</t>
  </si>
  <si>
    <t>0104</t>
  </si>
  <si>
    <t>121</t>
  </si>
  <si>
    <t>возмещение расходов за использование личного транспорта</t>
  </si>
  <si>
    <t>122</t>
  </si>
  <si>
    <t>242</t>
  </si>
  <si>
    <t>244</t>
  </si>
  <si>
    <t>приобретение марок, конвертов и пересылка почтовых отправлений</t>
  </si>
  <si>
    <t>затраты на приобретение канц.товаров</t>
  </si>
  <si>
    <t>затраты на приобретение хоз.товаров</t>
  </si>
  <si>
    <t>852</t>
  </si>
  <si>
    <t>членские взносы в ассоциацию МО</t>
  </si>
  <si>
    <t>853</t>
  </si>
  <si>
    <t>0107</t>
  </si>
  <si>
    <t>0111</t>
  </si>
  <si>
    <t>870</t>
  </si>
  <si>
    <t>0113</t>
  </si>
  <si>
    <t>0409</t>
  </si>
  <si>
    <t>0412</t>
  </si>
  <si>
    <t>0501</t>
  </si>
  <si>
    <t>0502</t>
  </si>
  <si>
    <t>Прочие мероприятия в области коммунального хозяйства</t>
  </si>
  <si>
    <t>0503</t>
  </si>
  <si>
    <t>тех.присоединение к эл.сетям</t>
  </si>
  <si>
    <t>приобетение электротоваров для уличного освещения</t>
  </si>
  <si>
    <t>0801</t>
  </si>
  <si>
    <t>Расходы бюджета на передаваемые полномочия в бюджет муниципального района</t>
  </si>
  <si>
    <t>540</t>
  </si>
  <si>
    <t>0106</t>
  </si>
  <si>
    <t>1101</t>
  </si>
  <si>
    <t>Исполнение переданных полномочий за счет средств бюджета МР "Износковский район"</t>
  </si>
  <si>
    <t>11</t>
  </si>
  <si>
    <t xml:space="preserve">Расходы за счет субвенций </t>
  </si>
  <si>
    <t>Осуществление первичного воинского учета на территориях, где отсутствуют военные комиссариаты</t>
  </si>
  <si>
    <t>0203</t>
  </si>
  <si>
    <t>Заработная плата</t>
  </si>
  <si>
    <t>365</t>
  </si>
  <si>
    <t>Начисления на выплаты по оплате труда</t>
  </si>
  <si>
    <t>01</t>
  </si>
  <si>
    <t>129</t>
  </si>
  <si>
    <t>02 0 00 04110</t>
  </si>
  <si>
    <t>02 0 00 04120</t>
  </si>
  <si>
    <t>02 0 00 04130</t>
  </si>
  <si>
    <t>02 0 00 04210</t>
  </si>
  <si>
    <t>02 0 00 04140</t>
  </si>
  <si>
    <t>99 9 00 51180</t>
  </si>
  <si>
    <t xml:space="preserve">Код БК </t>
  </si>
  <si>
    <t>Прочие мероприятия в области благоустройства</t>
  </si>
  <si>
    <t>Мероприятия в области пожарной безопасности</t>
  </si>
  <si>
    <t>Оценка недвижимости, признание прав и регулирование отношений по государственной и муниципальной собственности</t>
  </si>
  <si>
    <t>Периодическая печать</t>
  </si>
  <si>
    <t>Мероприятия по поддержке и развитию малого предпринимательства</t>
  </si>
  <si>
    <t>Мероприятия в области профилактики правонарушений</t>
  </si>
  <si>
    <t>Закупка товаров, работ, услуг в сфере информационно-коммуникационных технологий</t>
  </si>
  <si>
    <t>Функционирование представительного органа власти</t>
  </si>
  <si>
    <t>Разработка прогноза социально-экономического развития территории поселения и формирование муниципального заказа</t>
  </si>
  <si>
    <t>Создание условий для организации досуга и обеспечения жителей поселения услугами организаций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</si>
  <si>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</si>
  <si>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 xml:space="preserve">Начисления на выплаты по оплате труда </t>
  </si>
  <si>
    <t>12</t>
  </si>
  <si>
    <t>расходы бюджета за счет собственных средств - всего</t>
  </si>
  <si>
    <t>суточные в командировке</t>
  </si>
  <si>
    <t>Прочая закупка товаров, работ и услуг</t>
  </si>
  <si>
    <t>Дорожное хозяйство (за счет собственных средств)</t>
  </si>
  <si>
    <t>Внешний финансовый контроль (КСК)</t>
  </si>
  <si>
    <t>уплата госпошлины</t>
  </si>
  <si>
    <t>штрафы и пени по налогам</t>
  </si>
  <si>
    <t xml:space="preserve">Исполнитель: </t>
  </si>
  <si>
    <t xml:space="preserve">Доходы бюджета всего </t>
  </si>
  <si>
    <t>субсидии (областные и федеральные)</t>
  </si>
  <si>
    <t xml:space="preserve">субвенции </t>
  </si>
  <si>
    <t>01 0 01 01130</t>
  </si>
  <si>
    <t>01 0 01 01010</t>
  </si>
  <si>
    <t>01 0 01 01020</t>
  </si>
  <si>
    <t>Функционирование Главы Администрации сельского поселения</t>
  </si>
  <si>
    <t>01 0 01 01030</t>
  </si>
  <si>
    <t>Функционирование центрального аппарата администрации сельского поселения</t>
  </si>
  <si>
    <t>01 0 07 01300</t>
  </si>
  <si>
    <t>Обеспечение деятельности муниципальной избирательной комиссии</t>
  </si>
  <si>
    <t>01 0 04 01160</t>
  </si>
  <si>
    <t>01 0 03 01150</t>
  </si>
  <si>
    <t>01 0 02 01080</t>
  </si>
  <si>
    <t>01 0 02 01040</t>
  </si>
  <si>
    <t>01 0 02 01050</t>
  </si>
  <si>
    <t>01 0 02 01060</t>
  </si>
  <si>
    <t>01 0 02 01090</t>
  </si>
  <si>
    <t>01 0 02 01100</t>
  </si>
  <si>
    <t>01 0 05 01170</t>
  </si>
  <si>
    <t>01 0 06 01220</t>
  </si>
  <si>
    <t>06 0 00 01190</t>
  </si>
  <si>
    <t>01 0 08 01870</t>
  </si>
  <si>
    <t>проведение топографо-геодезических, картографических и землеустроительных работ (межевание земельных участков для многодетных семей)</t>
  </si>
  <si>
    <t>05 0 01 02400</t>
  </si>
  <si>
    <r>
      <t xml:space="preserve">Исполнение переданных полномочий муниципального района на обеспечение проживающих в поселении и нуждающихся в жилых помещениях малоимущих граждан жилыми помещениями, и по </t>
    </r>
    <r>
      <rPr>
        <b/>
        <sz val="10"/>
        <rFont val="Arial Cyr"/>
        <charset val="204"/>
      </rPr>
      <t>содержанию муниципального жилищного фонда</t>
    </r>
  </si>
  <si>
    <t>05 0 01 02500</t>
  </si>
  <si>
    <t>ВЦП</t>
  </si>
  <si>
    <r>
      <t xml:space="preserve">Формирование, утверждение, исполнение бюджета поселения и контроль за исполнением данного бюджета, в части передаваемых полномочий по </t>
    </r>
    <r>
      <rPr>
        <b/>
        <i/>
        <sz val="10"/>
        <color indexed="8"/>
        <rFont val="Arial Cyr"/>
        <charset val="204"/>
      </rPr>
      <t>составлению и организации исполнения бюджета</t>
    </r>
  </si>
  <si>
    <r>
      <t>Формирование, утверждение, исполнение бюджета поселения и контроль за исполнением данного бюджета,</t>
    </r>
    <r>
      <rPr>
        <b/>
        <i/>
        <sz val="10"/>
        <color indexed="8"/>
        <rFont val="Arial Cyr"/>
        <charset val="204"/>
      </rPr>
      <t xml:space="preserve"> в части ведения бухгалтерского учета и отчетности по администрации поселения</t>
    </r>
  </si>
  <si>
    <r>
      <t xml:space="preserve">Формирование, утверждение, исполнение бюджета поселения и контроль за исполнением данного бюджета, </t>
    </r>
    <r>
      <rPr>
        <b/>
        <i/>
        <sz val="10"/>
        <color indexed="8"/>
        <rFont val="Arial Cyr"/>
        <charset val="204"/>
      </rPr>
      <t>в части внутреннего финансового контроля</t>
    </r>
  </si>
  <si>
    <t>05 0 01 02600</t>
  </si>
  <si>
    <t>МП "ДОРОГИ"</t>
  </si>
  <si>
    <r>
      <t>Исполнение переданных полномочий муниципального района на осуществление дорожной деятельности в отношении автомобильных дорог местного значения в границах населенных пунктов поселения</t>
    </r>
    <r>
      <rPr>
        <b/>
        <i/>
        <sz val="10"/>
        <rFont val="Arial Cyr"/>
        <charset val="204"/>
      </rPr>
      <t xml:space="preserve"> в части межевания автомобильных дорог</t>
    </r>
  </si>
  <si>
    <r>
      <t>Исполнение переданных полномочий муниципального района на осуществление дорожной деятельности в отношении автомобильных дорог местного значения в границах населенных пунктов поселения</t>
    </r>
    <r>
      <rPr>
        <b/>
        <i/>
        <sz val="10"/>
        <rFont val="Arial Cyr"/>
        <charset val="204"/>
      </rPr>
      <t xml:space="preserve"> в части паспортизации автомобильных дорог</t>
    </r>
  </si>
  <si>
    <r>
      <t xml:space="preserve">Исполнение переданных полномочий муниципального района на осуществление дорожной деятельности в отношении автомобильных дорог местного значения </t>
    </r>
    <r>
      <rPr>
        <b/>
        <i/>
        <sz val="10"/>
        <rFont val="Arial Cyr"/>
        <charset val="204"/>
      </rPr>
      <t>в границах населенных пунктов поселения</t>
    </r>
    <r>
      <rPr>
        <i/>
        <sz val="10"/>
        <rFont val="Arial Cyr"/>
        <charset val="204"/>
      </rPr>
      <t xml:space="preserve"> </t>
    </r>
    <r>
      <rPr>
        <b/>
        <i/>
        <sz val="10"/>
        <rFont val="Arial Cyr"/>
        <charset val="204"/>
      </rPr>
      <t>в части содержания автомобильных дорог</t>
    </r>
  </si>
  <si>
    <r>
      <t>Исполнение переданных полномочий муниципального района на осуществление дорожной деятельности в отношении автомобильных дорог местного значения</t>
    </r>
    <r>
      <rPr>
        <b/>
        <i/>
        <sz val="10"/>
        <rFont val="Arial Cyr"/>
        <charset val="204"/>
      </rPr>
      <t xml:space="preserve"> вне границ населенных пунктов </t>
    </r>
    <r>
      <rPr>
        <i/>
        <sz val="10"/>
        <rFont val="Arial Cyr"/>
        <charset val="204"/>
      </rPr>
      <t xml:space="preserve">в границах муниципального района </t>
    </r>
    <r>
      <rPr>
        <b/>
        <i/>
        <sz val="10"/>
        <rFont val="Arial Cyr"/>
        <charset val="204"/>
      </rPr>
      <t>в части</t>
    </r>
    <r>
      <rPr>
        <i/>
        <sz val="10"/>
        <rFont val="Arial Cyr"/>
        <charset val="204"/>
      </rPr>
      <t xml:space="preserve"> </t>
    </r>
    <r>
      <rPr>
        <b/>
        <i/>
        <sz val="10"/>
        <rFont val="Arial Cyr"/>
        <charset val="204"/>
      </rPr>
      <t>содержания автомобильных дорог</t>
    </r>
  </si>
  <si>
    <r>
      <t>Исполнение переданных полномочий муниципального района на осуществление дорожной деятельности в отношении автомобильных дорог местного значения</t>
    </r>
    <r>
      <rPr>
        <b/>
        <i/>
        <sz val="10"/>
        <rFont val="Arial Cyr"/>
        <charset val="204"/>
      </rPr>
      <t xml:space="preserve"> в границах населенных пунктов поселения в части ремонта автомобильных дорог</t>
    </r>
  </si>
  <si>
    <r>
      <t xml:space="preserve">Исполнение переданны полномочий муниципального района по организации в границах поселения </t>
    </r>
    <r>
      <rPr>
        <b/>
        <sz val="10"/>
        <rFont val="Arial Cyr"/>
        <charset val="204"/>
      </rPr>
      <t>электро-, тепло-, газо- и водоснабжения населения</t>
    </r>
    <r>
      <rPr>
        <sz val="10"/>
        <rFont val="Arial Cyr"/>
        <charset val="204"/>
      </rPr>
      <t xml:space="preserve">, </t>
    </r>
    <r>
      <rPr>
        <b/>
        <sz val="10"/>
        <rFont val="Arial Cyr"/>
        <charset val="204"/>
      </rPr>
      <t>водоотведения, снабжения населения топливом</t>
    </r>
  </si>
  <si>
    <t>содержание дорог внутри поселения</t>
  </si>
  <si>
    <t>ремонт дорог внутри поселения</t>
  </si>
  <si>
    <t>МП "ЖКХ"</t>
  </si>
  <si>
    <t>05 0 02 01160</t>
  </si>
  <si>
    <t>05 0 02 02010</t>
  </si>
  <si>
    <r>
      <t>Мероприятия в области жилищного хозяйства</t>
    </r>
    <r>
      <rPr>
        <sz val="10"/>
        <color indexed="8"/>
        <rFont val="Arial CYR"/>
        <charset val="204"/>
      </rPr>
      <t xml:space="preserve"> (за счет собственных средств)</t>
    </r>
  </si>
  <si>
    <t>05 0 02 02020</t>
  </si>
  <si>
    <t>05 0 02 02240</t>
  </si>
  <si>
    <t>05 0 02 02250</t>
  </si>
  <si>
    <t>Организация уличного освещения</t>
  </si>
  <si>
    <t>Содержание и ремонт братских мест захоронений</t>
  </si>
  <si>
    <t>приобретение спецпродукции (цветы, венки, корзины)</t>
  </si>
  <si>
    <t>05 0 02 02270</t>
  </si>
  <si>
    <t>05 0 02 02260</t>
  </si>
  <si>
    <t>МП "МАЛОЕ ПРЕДПРИНИМАТЕЛЬСТВО"</t>
  </si>
  <si>
    <t>0600000000</t>
  </si>
  <si>
    <t>0200000000</t>
  </si>
  <si>
    <t>0100000000</t>
  </si>
  <si>
    <t>0500000000</t>
  </si>
  <si>
    <t>Прочие мероприятия проводимые органами местного самоуправления</t>
  </si>
  <si>
    <t>День поселения</t>
  </si>
  <si>
    <t>01 0 09 01210</t>
  </si>
  <si>
    <t>НЕПРОГРАМНЫЕ РАСХОДЫ</t>
  </si>
  <si>
    <t>областные средства</t>
  </si>
  <si>
    <t>средства поселения</t>
  </si>
  <si>
    <t>средства муниципального района</t>
  </si>
  <si>
    <t>средства населения</t>
  </si>
  <si>
    <t>Реализация проектов развития общественной инфраструктуры, основанных на местных инициативах (по Мин-ву финансов)</t>
  </si>
  <si>
    <t>обл</t>
  </si>
  <si>
    <t>лицензия на Астрал, заправка картриджей</t>
  </si>
  <si>
    <t>приобретение подарочной продукции, цветов, поздравительных открыток, почетных грамот, благодарственных писем, подарков юбилярам</t>
  </si>
  <si>
    <t>оказание материальной помощи</t>
  </si>
  <si>
    <t xml:space="preserve">Резервный фонд </t>
  </si>
  <si>
    <t>изготовление техпаспортов и иных правоустанавливающих документов</t>
  </si>
  <si>
    <t>затраты на газоснабжение 3376 м3*8,12</t>
  </si>
  <si>
    <t>средства юр.лиц</t>
  </si>
  <si>
    <t>Глава администрации МО СП "Деревня Хвощи"                                      Е.С. Сердюкова</t>
  </si>
  <si>
    <t>бланочная продукция</t>
  </si>
  <si>
    <t>в том числе: условно утвержденные расходы</t>
  </si>
  <si>
    <t>Расходы без условно утвержденных расходов</t>
  </si>
  <si>
    <t>05 0 04 L5760</t>
  </si>
  <si>
    <t>норматив</t>
  </si>
  <si>
    <t>итого за год</t>
  </si>
  <si>
    <t>Начисления на оплату труда</t>
  </si>
  <si>
    <t>Глава администрации</t>
  </si>
  <si>
    <t xml:space="preserve">Администрация </t>
  </si>
  <si>
    <t>муниципальные служащие</t>
  </si>
  <si>
    <t>хох.блок</t>
  </si>
  <si>
    <t>ИТОГО</t>
  </si>
  <si>
    <t>ВСЕГО</t>
  </si>
  <si>
    <t>05 0 03 S0243</t>
  </si>
  <si>
    <t>247</t>
  </si>
  <si>
    <t>затраты на электроснабжение 400*7,9*12</t>
  </si>
  <si>
    <t>приобретение электроэнергии (--)</t>
  </si>
  <si>
    <t>Стимулирование Главы администрации (за счет средств МР)</t>
  </si>
  <si>
    <t>01 0 01 00170</t>
  </si>
  <si>
    <t>ремонт уличного освещения (замена светильников в д.Хвощи)</t>
  </si>
  <si>
    <t xml:space="preserve">РЕЗЕРВ подлежащий последующему перераспределению </t>
  </si>
  <si>
    <t>2024 г.</t>
  </si>
  <si>
    <t>содержание мест захоронений (уборка стихийных свалок в д.Хвощи 25500, скашивание травы в д.Хвощи 44500)</t>
  </si>
  <si>
    <t>содержание мест воинских захоронений (скашивание травы)</t>
  </si>
  <si>
    <t>софинансирование МР по ремонту братских могил в д.Семеновское, урочище д.Белицы,являющихся памятниками культурного наследия</t>
  </si>
  <si>
    <t xml:space="preserve">межевание земельных участков под баней </t>
  </si>
  <si>
    <t>обустройство площадки с твердым основанием в д.Семеновское возле пруда для забора воды машиной на случай пожара (по представлению)</t>
  </si>
  <si>
    <t>экспертиза сметных расчетов</t>
  </si>
  <si>
    <t>Стимулирование работников органов местного самоуправления муниципальных образований Износковского района за достижение наилучших показателей социально-экономического развития муниципальных районов Калужской области</t>
  </si>
  <si>
    <t>01 0 01 01120</t>
  </si>
  <si>
    <t>360</t>
  </si>
  <si>
    <t>количество месяцев</t>
  </si>
  <si>
    <t>сумма</t>
  </si>
  <si>
    <t xml:space="preserve">Глава администрации </t>
  </si>
  <si>
    <t>эксперты</t>
  </si>
  <si>
    <t>% повышения с 01.10.24</t>
  </si>
  <si>
    <t>Расчет зарплаты по аппарату по МО СП д.Хвощи</t>
  </si>
  <si>
    <t>затраты на вывоз ТКО (192,94*12)</t>
  </si>
  <si>
    <t>ремонт крыльца к зданию администрации</t>
  </si>
  <si>
    <t>повышение квалификации 18000+учеба ВДПО 2*2500+ 44ФЗ</t>
  </si>
  <si>
    <t>Реализация общественно-значимых проектов по благоустройству сельских территорий (МИН С/Х)</t>
  </si>
  <si>
    <t xml:space="preserve"> в том числе налоговые и неналоговые доходы  + от населения и ИП (развитие сельских территорий )</t>
  </si>
  <si>
    <t>в том числе по собственным средствам</t>
  </si>
  <si>
    <t>доходы бюджета за счет собственных средств</t>
  </si>
  <si>
    <t>Первона-чально утвержден-ная роспись</t>
  </si>
  <si>
    <t>2025 г.</t>
  </si>
  <si>
    <t>свободный лимит</t>
  </si>
  <si>
    <t>противопожарная опашка и окашивание за счет средств МР</t>
  </si>
  <si>
    <t>противопожарная опашка и окашивание за счет средств СП</t>
  </si>
  <si>
    <t>0310</t>
  </si>
  <si>
    <t>05 0 03 S0242</t>
  </si>
  <si>
    <t>Исполнение переданны полномочий муниципального района по содержанию на территории муниципального района межпоселенческих мест захоронений</t>
  </si>
  <si>
    <t>текущий ремонт памятников (покраска, побелка, штукатурка) стелы в д.Калиновка, братских захоронений в д.Семеновское, урочище д.Белицы, захоронения Т.С.Каменской в д.Хвощи</t>
  </si>
  <si>
    <t>ремонт в асфальте д.Хвощи ул.Набережная, 991 п.м.</t>
  </si>
  <si>
    <t>ремонт в асфальте д.Хвощи ул.Заречная, 974 п.м.</t>
  </si>
  <si>
    <t>обл.</t>
  </si>
  <si>
    <r>
      <t>Исполнение переданных полномочий муниципального района на осуществление дорожной деятельности в отношении автомобильных дорог местного значения</t>
    </r>
    <r>
      <rPr>
        <b/>
        <i/>
        <sz val="10"/>
        <rFont val="Arial Cyr"/>
        <charset val="204"/>
      </rPr>
      <t xml:space="preserve"> в части организации дорожного движения (разработка проектов)</t>
    </r>
  </si>
  <si>
    <t>02 0 00 04180</t>
  </si>
  <si>
    <t>приобретение газонокосилки</t>
  </si>
  <si>
    <t>затраты на подписку журнала "Пожарное дело"</t>
  </si>
  <si>
    <t>должностные оклады на 01.01.24</t>
  </si>
  <si>
    <t>биотестирование, протоколы КХА отходов V-класса опасности</t>
  </si>
  <si>
    <t>обслуживание сайта МО ТВИМ</t>
  </si>
  <si>
    <t>Установка пожарных гидрантов на водопроводных сетях для обеспечения пожарной безопасности в границах населенного пункта д.Хвощи Износковского района Калужской области в рамках реализации инициативных проектов</t>
  </si>
  <si>
    <t>05 0 03 S0244</t>
  </si>
  <si>
    <t>2026 г.</t>
  </si>
  <si>
    <t>Благоустройство территории зоны отдыха д. Хвощи, ул. Центральная Износковского района Калужской области в рамках реализации инициативных проектов - 3 этап (лавочки, озеление)</t>
  </si>
  <si>
    <t xml:space="preserve">Заработная плата 39 окладов </t>
  </si>
  <si>
    <t xml:space="preserve">Заработная плата спец-т 39 окладов, техничка 37 оклада </t>
  </si>
  <si>
    <t>Благоустройство территории зоны отдыха д. Хвощи, ул. Центральная уч.3А Износковского района Калужской области (укладка тротуарной плитки 780м и бордюрного камня 240м</t>
  </si>
  <si>
    <t>Уточненная роспись на 27.09.2023 г.</t>
  </si>
  <si>
    <t>обслуживание пожарной сигнализации в здании адм-ции 500*12и ежемесячный мониторинг связи автомат.пожарной сигнализации(1250*12)</t>
  </si>
  <si>
    <t>снятие и установка узла учета газа в зданиии администрации</t>
  </si>
  <si>
    <t>техническое обслуживание газового оборудования (котел в администрации) и техническое обслуживание и ремонт газопроводов</t>
  </si>
  <si>
    <t>штраф</t>
  </si>
  <si>
    <t>на 2024-2025 годы</t>
  </si>
  <si>
    <t>РАСХОДЫ БЮДЖЕТА МО СП "ДЕРЕВНЯ ХВОЩИ" на 2024 - 2026 годы</t>
  </si>
  <si>
    <t>Услуги по разработке муниципальной программы в области энергосбережения</t>
  </si>
  <si>
    <t>услуги по транспортировке, содержанию и ремонту пожарной цистерны</t>
  </si>
  <si>
    <t>поставка и монтаж оборудования системы видеонаблюдения в зоне отдыха д.Хвощи</t>
  </si>
  <si>
    <t>услуги по определению сметной стоимсти системы видеонаблюдения в зоне от дыха в д.Хвощи</t>
  </si>
  <si>
    <t>приобретение товара для благоустройства</t>
  </si>
  <si>
    <t>приобретение банера</t>
  </si>
  <si>
    <t>благоустройство территории д.Хвощи</t>
  </si>
  <si>
    <t>затраты на услуги связи (абонплата292,80*12+переговоры767,72*12)</t>
  </si>
  <si>
    <t>затраты на ТО и ремонт оргтехники, заправка и ремонт картриджей</t>
  </si>
  <si>
    <t>наполнение сайта администрации поселения на платформе Госвэб (Прагматик)</t>
  </si>
  <si>
    <t>затраты на проведение диспансеризации работников (2*6000)</t>
  </si>
  <si>
    <t>услуги по составлению сведений за размещение отходов производства и потребления по форме № 2-ТП</t>
  </si>
  <si>
    <t>образовательные услуги</t>
  </si>
  <si>
    <t>огнезащитная обработка деревянных конструкций и проверка</t>
  </si>
  <si>
    <t xml:space="preserve">плата за негативное воздействие на окружающую среду </t>
  </si>
  <si>
    <t>обустройство пожарного водоема в д.Калиновка</t>
  </si>
  <si>
    <t>приобретение стендов для обнарова 6 шт.</t>
  </si>
  <si>
    <t>разработка тех.плана на безхозяйного имущества</t>
  </si>
  <si>
    <t>затраты за сопровождение программ и приобретение лицензий для програмного обеспечения (ТехнокадМуниципалитет 16500 + СоветникПроф29400)</t>
  </si>
  <si>
    <t xml:space="preserve">подписка на журнал "Муниципальная Россия" (рекомендация ассоциации муниципальных образований) </t>
  </si>
  <si>
    <t>материалы и услуги по содержанию и ремонту братских мест захоронений</t>
  </si>
  <si>
    <t>средства поселения(разработка и проверка смет, технадзор)</t>
  </si>
  <si>
    <t>транспортные услуги 5500*12*130,2%</t>
  </si>
  <si>
    <t>уборка территории по договору (10000*7*130,2%)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</si>
</sst>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%"/>
  </numFmts>
  <fonts count="32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2"/>
      <color indexed="8"/>
      <name val="Arial Cyr"/>
      <family val="2"/>
      <charset val="204"/>
    </font>
    <font>
      <sz val="10"/>
      <color indexed="8"/>
      <name val="Arial Cyr"/>
      <family val="2"/>
      <charset val="204"/>
    </font>
    <font>
      <b/>
      <sz val="11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name val="Arial Cyr"/>
      <family val="2"/>
      <charset val="204"/>
    </font>
    <font>
      <b/>
      <i/>
      <sz val="11"/>
      <name val="Arial Cyr"/>
      <family val="2"/>
      <charset val="204"/>
    </font>
    <font>
      <i/>
      <sz val="10"/>
      <color indexed="8"/>
      <name val="Arial Cyr"/>
      <family val="2"/>
      <charset val="204"/>
    </font>
    <font>
      <b/>
      <sz val="10"/>
      <color indexed="8"/>
      <name val="Arial CYR"/>
      <charset val="204"/>
    </font>
    <font>
      <sz val="10"/>
      <color indexed="8"/>
      <name val="Arial CYR"/>
      <charset val="204"/>
    </font>
    <font>
      <b/>
      <i/>
      <sz val="10"/>
      <name val="Arial CYR"/>
      <family val="2"/>
      <charset val="204"/>
    </font>
    <font>
      <b/>
      <sz val="10"/>
      <name val="Arial Cyr"/>
      <charset val="204"/>
    </font>
    <font>
      <b/>
      <i/>
      <sz val="10"/>
      <name val="Arial Cyr"/>
      <charset val="204"/>
    </font>
    <font>
      <i/>
      <sz val="10"/>
      <color indexed="8"/>
      <name val="Arial Cyr"/>
      <charset val="204"/>
    </font>
    <font>
      <b/>
      <i/>
      <sz val="10"/>
      <color indexed="8"/>
      <name val="Arial Cyr"/>
      <charset val="204"/>
    </font>
    <font>
      <i/>
      <sz val="10"/>
      <name val="Arial Cyr"/>
      <charset val="204"/>
    </font>
    <font>
      <i/>
      <sz val="10"/>
      <name val="Arial Cyr"/>
      <family val="2"/>
      <charset val="204"/>
    </font>
    <font>
      <i/>
      <sz val="10"/>
      <name val="Arial"/>
      <family val="2"/>
      <charset val="204"/>
    </font>
    <font>
      <b/>
      <sz val="11"/>
      <name val="Arial Cyr"/>
      <charset val="204"/>
    </font>
    <font>
      <sz val="10"/>
      <color rgb="FF000000"/>
      <name val="Arial Cyr"/>
      <family val="2"/>
    </font>
    <font>
      <b/>
      <sz val="11"/>
      <color indexed="8"/>
      <name val="Arial CYR"/>
      <charset val="204"/>
    </font>
    <font>
      <b/>
      <sz val="12"/>
      <name val="Times New Roman"/>
      <family val="1"/>
      <charset val="204"/>
    </font>
    <font>
      <b/>
      <i/>
      <sz val="11"/>
      <name val="Arial Cyr"/>
      <charset val="204"/>
    </font>
    <font>
      <sz val="11"/>
      <name val="Calibri"/>
      <family val="2"/>
      <charset val="204"/>
    </font>
    <font>
      <b/>
      <sz val="10"/>
      <color rgb="FF000000"/>
      <name val="Arial CYR"/>
      <family val="2"/>
    </font>
    <font>
      <i/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i/>
      <sz val="10"/>
      <color rgb="FF000000"/>
      <name val="Arial Cyr"/>
      <charset val="204"/>
    </font>
    <font>
      <b/>
      <sz val="11"/>
      <name val="Calibri"/>
      <family val="2"/>
      <charset val="204"/>
    </font>
    <font>
      <i/>
      <sz val="11"/>
      <name val="Arial Cyr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3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rgb="FFCCFFFF"/>
      </patternFill>
    </fill>
    <fill>
      <patternFill patternType="solid">
        <fgColor theme="9" tint="0.79998168889431442"/>
        <bgColor indexed="26"/>
      </patternFill>
    </fill>
    <fill>
      <patternFill patternType="solid">
        <fgColor theme="5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36">
    <xf numFmtId="0" fontId="0" fillId="0" borderId="0"/>
    <xf numFmtId="0" fontId="2" fillId="2" borderId="0"/>
    <xf numFmtId="49" fontId="21" fillId="0" borderId="13">
      <alignment vertical="top" wrapText="1"/>
    </xf>
    <xf numFmtId="0" fontId="25" fillId="0" borderId="0"/>
    <xf numFmtId="0" fontId="25" fillId="0" borderId="0"/>
    <xf numFmtId="0" fontId="25" fillId="0" borderId="0"/>
    <xf numFmtId="0" fontId="4" fillId="0" borderId="0"/>
    <xf numFmtId="0" fontId="4" fillId="0" borderId="0"/>
    <xf numFmtId="0" fontId="25" fillId="0" borderId="0"/>
    <xf numFmtId="0" fontId="4" fillId="8" borderId="0"/>
    <xf numFmtId="0" fontId="4" fillId="0" borderId="0">
      <alignment wrapText="1"/>
    </xf>
    <xf numFmtId="0" fontId="4" fillId="0" borderId="0"/>
    <xf numFmtId="0" fontId="3" fillId="0" borderId="0">
      <alignment horizontal="center" wrapText="1"/>
    </xf>
    <xf numFmtId="0" fontId="3" fillId="0" borderId="0">
      <alignment horizontal="center"/>
    </xf>
    <xf numFmtId="0" fontId="4" fillId="0" borderId="0">
      <alignment horizontal="right"/>
    </xf>
    <xf numFmtId="0" fontId="4" fillId="8" borderId="12"/>
    <xf numFmtId="0" fontId="4" fillId="0" borderId="1">
      <alignment horizontal="center" vertical="center" wrapText="1"/>
    </xf>
    <xf numFmtId="0" fontId="4" fillId="8" borderId="5"/>
    <xf numFmtId="49" fontId="4" fillId="0" borderId="1">
      <alignment horizontal="left" vertical="top" wrapText="1" indent="2"/>
    </xf>
    <xf numFmtId="49" fontId="4" fillId="0" borderId="1">
      <alignment horizontal="center" vertical="top" shrinkToFit="1"/>
    </xf>
    <xf numFmtId="4" fontId="4" fillId="0" borderId="1">
      <alignment horizontal="right" vertical="top" shrinkToFit="1"/>
    </xf>
    <xf numFmtId="10" fontId="4" fillId="0" borderId="1">
      <alignment horizontal="right" vertical="top" shrinkToFit="1"/>
    </xf>
    <xf numFmtId="0" fontId="4" fillId="8" borderId="5">
      <alignment shrinkToFit="1"/>
    </xf>
    <xf numFmtId="0" fontId="6" fillId="0" borderId="1">
      <alignment horizontal="left"/>
    </xf>
    <xf numFmtId="4" fontId="6" fillId="9" borderId="1">
      <alignment horizontal="right" vertical="top" shrinkToFit="1"/>
    </xf>
    <xf numFmtId="10" fontId="6" fillId="9" borderId="1">
      <alignment horizontal="right" vertical="top" shrinkToFit="1"/>
    </xf>
    <xf numFmtId="0" fontId="4" fillId="8" borderId="21"/>
    <xf numFmtId="0" fontId="4" fillId="0" borderId="0">
      <alignment horizontal="left" wrapText="1"/>
    </xf>
    <xf numFmtId="0" fontId="6" fillId="0" borderId="1">
      <alignment vertical="top" wrapText="1"/>
    </xf>
    <xf numFmtId="4" fontId="6" fillId="10" borderId="1">
      <alignment horizontal="right" vertical="top" shrinkToFit="1"/>
    </xf>
    <xf numFmtId="10" fontId="6" fillId="10" borderId="1">
      <alignment horizontal="right" vertical="top" shrinkToFit="1"/>
    </xf>
    <xf numFmtId="0" fontId="4" fillId="8" borderId="5">
      <alignment horizontal="center"/>
    </xf>
    <xf numFmtId="0" fontId="4" fillId="8" borderId="5">
      <alignment horizontal="left"/>
    </xf>
    <xf numFmtId="0" fontId="4" fillId="8" borderId="21">
      <alignment horizontal="center"/>
    </xf>
    <xf numFmtId="0" fontId="4" fillId="8" borderId="21">
      <alignment horizontal="left"/>
    </xf>
    <xf numFmtId="4" fontId="26" fillId="11" borderId="13">
      <alignment horizontal="right" vertical="top" shrinkToFit="1"/>
    </xf>
  </cellStyleXfs>
  <cellXfs count="286">
    <xf numFmtId="0" fontId="0" fillId="0" borderId="0" xfId="0"/>
    <xf numFmtId="0" fontId="2" fillId="2" borderId="0" xfId="1"/>
    <xf numFmtId="0" fontId="2" fillId="2" borderId="1" xfId="1" applyFont="1" applyBorder="1" applyAlignment="1">
      <alignment horizontal="center"/>
    </xf>
    <xf numFmtId="0" fontId="6" fillId="2" borderId="1" xfId="1" applyFont="1" applyFill="1" applyBorder="1" applyAlignment="1">
      <alignment vertical="top" wrapText="1"/>
    </xf>
    <xf numFmtId="0" fontId="4" fillId="2" borderId="1" xfId="1" applyFont="1" applyFill="1" applyBorder="1" applyAlignment="1">
      <alignment vertical="top" wrapText="1"/>
    </xf>
    <xf numFmtId="0" fontId="2" fillId="2" borderId="0" xfId="1" applyAlignment="1"/>
    <xf numFmtId="0" fontId="10" fillId="2" borderId="1" xfId="1" applyFont="1" applyFill="1" applyBorder="1" applyAlignment="1">
      <alignment vertical="top" wrapText="1"/>
    </xf>
    <xf numFmtId="0" fontId="15" fillId="2" borderId="1" xfId="1" applyFont="1" applyFill="1" applyBorder="1" applyAlignment="1">
      <alignment vertical="top" wrapText="1"/>
    </xf>
    <xf numFmtId="0" fontId="15" fillId="0" borderId="1" xfId="1" applyFont="1" applyFill="1" applyBorder="1" applyAlignment="1">
      <alignment vertical="top" wrapText="1"/>
    </xf>
    <xf numFmtId="0" fontId="17" fillId="2" borderId="1" xfId="1" applyFont="1" applyFill="1" applyBorder="1" applyAlignment="1">
      <alignment vertical="top" wrapText="1"/>
    </xf>
    <xf numFmtId="0" fontId="17" fillId="0" borderId="1" xfId="1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center" vertical="center" wrapText="1"/>
    </xf>
    <xf numFmtId="0" fontId="2" fillId="2" borderId="0" xfId="1" applyFont="1"/>
    <xf numFmtId="0" fontId="5" fillId="2" borderId="1" xfId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" xfId="0" applyFont="1" applyBorder="1" applyAlignment="1">
      <alignment vertical="top" wrapText="1"/>
    </xf>
    <xf numFmtId="49" fontId="10" fillId="2" borderId="1" xfId="0" applyNumberFormat="1" applyFont="1" applyFill="1" applyBorder="1" applyAlignment="1">
      <alignment horizontal="center" vertical="top" shrinkToFit="1"/>
    </xf>
    <xf numFmtId="49" fontId="10" fillId="2" borderId="1" xfId="0" applyNumberFormat="1" applyFont="1" applyFill="1" applyBorder="1" applyAlignment="1">
      <alignment horizontal="center" vertical="top" wrapText="1"/>
    </xf>
    <xf numFmtId="49" fontId="4" fillId="2" borderId="1" xfId="0" applyNumberFormat="1" applyFont="1" applyFill="1" applyBorder="1" applyAlignment="1">
      <alignment horizontal="center" vertical="top" shrinkToFit="1"/>
    </xf>
    <xf numFmtId="49" fontId="11" fillId="2" borderId="1" xfId="0" applyNumberFormat="1" applyFont="1" applyFill="1" applyBorder="1" applyAlignment="1">
      <alignment horizontal="center" vertical="top" wrapText="1"/>
    </xf>
    <xf numFmtId="49" fontId="13" fillId="0" borderId="7" xfId="0" applyNumberFormat="1" applyFont="1" applyBorder="1" applyAlignment="1">
      <alignment vertical="top"/>
    </xf>
    <xf numFmtId="49" fontId="1" fillId="0" borderId="7" xfId="0" applyNumberFormat="1" applyFont="1" applyBorder="1" applyAlignment="1">
      <alignment vertical="top"/>
    </xf>
    <xf numFmtId="49" fontId="15" fillId="2" borderId="1" xfId="0" applyNumberFormat="1" applyFont="1" applyFill="1" applyBorder="1" applyAlignment="1">
      <alignment horizontal="center" vertical="top" shrinkToFit="1"/>
    </xf>
    <xf numFmtId="49" fontId="15" fillId="2" borderId="1" xfId="0" applyNumberFormat="1" applyFont="1" applyFill="1" applyBorder="1" applyAlignment="1">
      <alignment horizontal="center" vertical="top" wrapText="1"/>
    </xf>
    <xf numFmtId="49" fontId="15" fillId="0" borderId="1" xfId="0" applyNumberFormat="1" applyFont="1" applyFill="1" applyBorder="1" applyAlignment="1">
      <alignment horizontal="center" vertical="top" shrinkToFit="1"/>
    </xf>
    <xf numFmtId="49" fontId="15" fillId="0" borderId="1" xfId="0" applyNumberFormat="1" applyFont="1" applyFill="1" applyBorder="1" applyAlignment="1">
      <alignment horizontal="center" vertical="top" wrapText="1"/>
    </xf>
    <xf numFmtId="49" fontId="17" fillId="2" borderId="1" xfId="0" applyNumberFormat="1" applyFont="1" applyFill="1" applyBorder="1" applyAlignment="1">
      <alignment horizontal="center" vertical="top" shrinkToFit="1"/>
    </xf>
    <xf numFmtId="49" fontId="17" fillId="2" borderId="1" xfId="0" applyNumberFormat="1" applyFont="1" applyFill="1" applyBorder="1" applyAlignment="1">
      <alignment horizontal="center" vertical="top" wrapText="1"/>
    </xf>
    <xf numFmtId="49" fontId="17" fillId="0" borderId="1" xfId="0" applyNumberFormat="1" applyFont="1" applyFill="1" applyBorder="1" applyAlignment="1">
      <alignment horizontal="center" vertical="top" shrinkToFit="1"/>
    </xf>
    <xf numFmtId="49" fontId="17" fillId="0" borderId="1" xfId="0" applyNumberFormat="1" applyFont="1" applyFill="1" applyBorder="1" applyAlignment="1">
      <alignment horizontal="center" vertical="top" wrapText="1"/>
    </xf>
    <xf numFmtId="49" fontId="17" fillId="0" borderId="7" xfId="0" applyNumberFormat="1" applyFont="1" applyBorder="1" applyAlignment="1">
      <alignment vertical="top"/>
    </xf>
    <xf numFmtId="49" fontId="0" fillId="2" borderId="1" xfId="0" applyNumberFormat="1" applyFont="1" applyFill="1" applyBorder="1" applyAlignment="1">
      <alignment horizontal="center" vertical="top" shrinkToFit="1"/>
    </xf>
    <xf numFmtId="49" fontId="13" fillId="2" borderId="1" xfId="0" applyNumberFormat="1" applyFont="1" applyFill="1" applyBorder="1" applyAlignment="1">
      <alignment horizontal="center" vertical="top" shrinkToFit="1"/>
    </xf>
    <xf numFmtId="49" fontId="11" fillId="2" borderId="1" xfId="0" applyNumberFormat="1" applyFont="1" applyFill="1" applyBorder="1" applyAlignment="1">
      <alignment horizontal="center" vertical="top" shrinkToFit="1"/>
    </xf>
    <xf numFmtId="49" fontId="0" fillId="2" borderId="6" xfId="0" applyNumberFormat="1" applyFont="1" applyFill="1" applyBorder="1" applyAlignment="1">
      <alignment horizontal="center" vertical="top" shrinkToFit="1"/>
    </xf>
    <xf numFmtId="0" fontId="13" fillId="0" borderId="7" xfId="0" applyFont="1" applyBorder="1" applyAlignment="1">
      <alignment horizontal="center" vertical="top"/>
    </xf>
    <xf numFmtId="49" fontId="9" fillId="2" borderId="4" xfId="0" applyNumberFormat="1" applyFont="1" applyFill="1" applyBorder="1" applyAlignment="1">
      <alignment horizontal="center" vertical="top" shrinkToFit="1"/>
    </xf>
    <xf numFmtId="49" fontId="9" fillId="2" borderId="7" xfId="0" applyNumberFormat="1" applyFont="1" applyFill="1" applyBorder="1" applyAlignment="1">
      <alignment horizontal="center" vertical="top" wrapText="1"/>
    </xf>
    <xf numFmtId="49" fontId="9" fillId="2" borderId="6" xfId="0" applyNumberFormat="1" applyFont="1" applyFill="1" applyBorder="1" applyAlignment="1">
      <alignment horizontal="center" vertical="top" shrinkToFit="1"/>
    </xf>
    <xf numFmtId="0" fontId="19" fillId="0" borderId="1" xfId="0" applyFont="1" applyBorder="1" applyAlignment="1">
      <alignment vertical="top" wrapText="1"/>
    </xf>
    <xf numFmtId="0" fontId="17" fillId="0" borderId="7" xfId="0" applyFont="1" applyBorder="1" applyAlignment="1">
      <alignment horizontal="center" vertical="top"/>
    </xf>
    <xf numFmtId="49" fontId="0" fillId="0" borderId="7" xfId="0" applyNumberFormat="1" applyBorder="1" applyAlignment="1">
      <alignment vertical="top"/>
    </xf>
    <xf numFmtId="49" fontId="0" fillId="2" borderId="4" xfId="0" applyNumberFormat="1" applyFont="1" applyFill="1" applyBorder="1" applyAlignment="1">
      <alignment horizontal="center" vertical="top" shrinkToFit="1"/>
    </xf>
    <xf numFmtId="0" fontId="4" fillId="2" borderId="3" xfId="1" applyFont="1" applyFill="1" applyBorder="1" applyAlignment="1">
      <alignment vertical="top" wrapText="1"/>
    </xf>
    <xf numFmtId="49" fontId="4" fillId="0" borderId="3" xfId="0" applyNumberFormat="1" applyFont="1" applyFill="1" applyBorder="1" applyAlignment="1">
      <alignment horizontal="center" vertical="top" shrinkToFit="1"/>
    </xf>
    <xf numFmtId="0" fontId="6" fillId="0" borderId="2" xfId="1" applyFont="1" applyFill="1" applyBorder="1" applyAlignment="1">
      <alignment vertical="top" wrapText="1"/>
    </xf>
    <xf numFmtId="49" fontId="6" fillId="2" borderId="2" xfId="0" applyNumberFormat="1" applyFont="1" applyFill="1" applyBorder="1" applyAlignment="1">
      <alignment horizontal="center" vertical="top" shrinkToFit="1"/>
    </xf>
    <xf numFmtId="49" fontId="6" fillId="0" borderId="2" xfId="0" applyNumberFormat="1" applyFont="1" applyFill="1" applyBorder="1" applyAlignment="1">
      <alignment horizontal="center" vertical="top" wrapText="1"/>
    </xf>
    <xf numFmtId="0" fontId="15" fillId="2" borderId="7" xfId="1" applyFont="1" applyFill="1" applyBorder="1" applyAlignment="1">
      <alignment vertical="top" wrapText="1"/>
    </xf>
    <xf numFmtId="49" fontId="15" fillId="0" borderId="7" xfId="0" applyNumberFormat="1" applyFont="1" applyFill="1" applyBorder="1" applyAlignment="1">
      <alignment horizontal="center" vertical="top" shrinkToFit="1"/>
    </xf>
    <xf numFmtId="49" fontId="13" fillId="0" borderId="0" xfId="0" applyNumberFormat="1" applyFont="1" applyBorder="1" applyAlignment="1">
      <alignment vertical="top"/>
    </xf>
    <xf numFmtId="0" fontId="17" fillId="3" borderId="7" xfId="0" applyFont="1" applyFill="1" applyBorder="1" applyAlignment="1">
      <alignment horizontal="center" vertical="top"/>
    </xf>
    <xf numFmtId="0" fontId="17" fillId="0" borderId="7" xfId="0" applyFont="1" applyFill="1" applyBorder="1" applyAlignment="1">
      <alignment horizontal="center" vertical="top"/>
    </xf>
    <xf numFmtId="4" fontId="7" fillId="2" borderId="1" xfId="1" applyNumberFormat="1" applyFont="1" applyBorder="1" applyAlignment="1">
      <alignment vertical="top"/>
    </xf>
    <xf numFmtId="4" fontId="2" fillId="2" borderId="1" xfId="1" applyNumberFormat="1" applyBorder="1" applyAlignment="1">
      <alignment horizontal="right" vertical="top"/>
    </xf>
    <xf numFmtId="4" fontId="1" fillId="2" borderId="1" xfId="1" applyNumberFormat="1" applyFont="1" applyBorder="1" applyAlignment="1">
      <alignment vertical="top"/>
    </xf>
    <xf numFmtId="4" fontId="6" fillId="2" borderId="2" xfId="1" applyNumberFormat="1" applyFont="1" applyFill="1" applyBorder="1" applyAlignment="1">
      <alignment horizontal="right" vertical="top" wrapText="1"/>
    </xf>
    <xf numFmtId="4" fontId="10" fillId="0" borderId="1" xfId="1" applyNumberFormat="1" applyFont="1" applyFill="1" applyBorder="1" applyAlignment="1">
      <alignment horizontal="right" vertical="top" shrinkToFit="1"/>
    </xf>
    <xf numFmtId="4" fontId="2" fillId="0" borderId="1" xfId="1" applyNumberFormat="1" applyFill="1" applyBorder="1" applyAlignment="1">
      <alignment vertical="top"/>
    </xf>
    <xf numFmtId="4" fontId="2" fillId="2" borderId="1" xfId="1" applyNumberFormat="1" applyBorder="1" applyAlignment="1">
      <alignment vertical="top"/>
    </xf>
    <xf numFmtId="4" fontId="4" fillId="0" borderId="1" xfId="1" applyNumberFormat="1" applyFont="1" applyFill="1" applyBorder="1" applyAlignment="1">
      <alignment horizontal="right" vertical="top" shrinkToFit="1"/>
    </xf>
    <xf numFmtId="4" fontId="15" fillId="0" borderId="1" xfId="1" applyNumberFormat="1" applyFont="1" applyFill="1" applyBorder="1" applyAlignment="1">
      <alignment horizontal="right" vertical="top" shrinkToFit="1"/>
    </xf>
    <xf numFmtId="4" fontId="17" fillId="0" borderId="1" xfId="1" applyNumberFormat="1" applyFont="1" applyFill="1" applyBorder="1" applyAlignment="1">
      <alignment vertical="top"/>
    </xf>
    <xf numFmtId="4" fontId="4" fillId="0" borderId="2" xfId="1" applyNumberFormat="1" applyFont="1" applyFill="1" applyBorder="1" applyAlignment="1">
      <alignment horizontal="right" vertical="top" shrinkToFit="1"/>
    </xf>
    <xf numFmtId="4" fontId="4" fillId="0" borderId="3" xfId="1" applyNumberFormat="1" applyFont="1" applyFill="1" applyBorder="1" applyAlignment="1">
      <alignment horizontal="right" vertical="top" shrinkToFit="1"/>
    </xf>
    <xf numFmtId="4" fontId="15" fillId="0" borderId="7" xfId="1" applyNumberFormat="1" applyFont="1" applyFill="1" applyBorder="1" applyAlignment="1">
      <alignment horizontal="right" vertical="top" shrinkToFit="1"/>
    </xf>
    <xf numFmtId="4" fontId="13" fillId="0" borderId="1" xfId="1" applyNumberFormat="1" applyFont="1" applyFill="1" applyBorder="1" applyAlignment="1">
      <alignment vertical="top"/>
    </xf>
    <xf numFmtId="4" fontId="11" fillId="0" borderId="1" xfId="1" applyNumberFormat="1" applyFont="1" applyFill="1" applyBorder="1" applyAlignment="1">
      <alignment horizontal="right" vertical="top" shrinkToFit="1"/>
    </xf>
    <xf numFmtId="4" fontId="18" fillId="0" borderId="1" xfId="1" applyNumberFormat="1" applyFont="1" applyFill="1" applyBorder="1" applyAlignment="1">
      <alignment vertical="top"/>
    </xf>
    <xf numFmtId="4" fontId="17" fillId="0" borderId="1" xfId="1" applyNumberFormat="1" applyFont="1" applyFill="1" applyBorder="1" applyAlignment="1">
      <alignment horizontal="right" vertical="top" shrinkToFit="1"/>
    </xf>
    <xf numFmtId="4" fontId="12" fillId="0" borderId="1" xfId="1" applyNumberFormat="1" applyFont="1" applyFill="1" applyBorder="1" applyAlignment="1">
      <alignment horizontal="right" vertical="top" shrinkToFit="1"/>
    </xf>
    <xf numFmtId="4" fontId="13" fillId="0" borderId="1" xfId="1" applyNumberFormat="1" applyFont="1" applyFill="1" applyBorder="1" applyAlignment="1">
      <alignment horizontal="right" vertical="top" shrinkToFit="1"/>
    </xf>
    <xf numFmtId="0" fontId="4" fillId="0" borderId="1" xfId="1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vertical="top" shrinkToFit="1"/>
    </xf>
    <xf numFmtId="0" fontId="9" fillId="0" borderId="1" xfId="1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horizontal="center" vertical="top" shrinkToFit="1"/>
    </xf>
    <xf numFmtId="49" fontId="9" fillId="0" borderId="1" xfId="0" applyNumberFormat="1" applyFont="1" applyFill="1" applyBorder="1" applyAlignment="1">
      <alignment horizontal="center" vertical="top" wrapText="1"/>
    </xf>
    <xf numFmtId="49" fontId="0" fillId="0" borderId="7" xfId="0" applyNumberFormat="1" applyFont="1" applyBorder="1" applyAlignment="1">
      <alignment vertical="top"/>
    </xf>
    <xf numFmtId="0" fontId="0" fillId="0" borderId="7" xfId="0" applyBorder="1" applyAlignment="1">
      <alignment horizontal="center" vertical="top"/>
    </xf>
    <xf numFmtId="0" fontId="17" fillId="2" borderId="1" xfId="1" applyFont="1" applyFill="1" applyBorder="1" applyAlignment="1">
      <alignment horizontal="left" vertical="top" wrapText="1"/>
    </xf>
    <xf numFmtId="49" fontId="17" fillId="2" borderId="6" xfId="0" applyNumberFormat="1" applyFont="1" applyFill="1" applyBorder="1" applyAlignment="1">
      <alignment horizontal="center" vertical="top" shrinkToFit="1"/>
    </xf>
    <xf numFmtId="4" fontId="10" fillId="6" borderId="2" xfId="1" applyNumberFormat="1" applyFont="1" applyFill="1" applyBorder="1" applyAlignment="1">
      <alignment horizontal="right" vertical="top" wrapText="1"/>
    </xf>
    <xf numFmtId="0" fontId="20" fillId="6" borderId="1" xfId="1" applyFont="1" applyFill="1" applyBorder="1" applyAlignment="1">
      <alignment horizontal="center" vertical="top" wrapText="1"/>
    </xf>
    <xf numFmtId="4" fontId="17" fillId="2" borderId="1" xfId="1" applyNumberFormat="1" applyFont="1" applyBorder="1" applyAlignment="1">
      <alignment vertical="top"/>
    </xf>
    <xf numFmtId="0" fontId="15" fillId="2" borderId="2" xfId="1" applyFont="1" applyFill="1" applyBorder="1" applyAlignment="1">
      <alignment vertical="top" wrapText="1"/>
    </xf>
    <xf numFmtId="0" fontId="15" fillId="2" borderId="3" xfId="1" applyFont="1" applyFill="1" applyBorder="1" applyAlignment="1">
      <alignment vertical="top" wrapText="1"/>
    </xf>
    <xf numFmtId="49" fontId="15" fillId="2" borderId="3" xfId="0" applyNumberFormat="1" applyFont="1" applyFill="1" applyBorder="1" applyAlignment="1">
      <alignment horizontal="center" vertical="top" shrinkToFit="1"/>
    </xf>
    <xf numFmtId="49" fontId="17" fillId="0" borderId="8" xfId="0" applyNumberFormat="1" applyFont="1" applyBorder="1" applyAlignment="1">
      <alignment vertical="top"/>
    </xf>
    <xf numFmtId="49" fontId="15" fillId="2" borderId="7" xfId="0" applyNumberFormat="1" applyFont="1" applyFill="1" applyBorder="1" applyAlignment="1">
      <alignment horizontal="center" vertical="top" shrinkToFit="1"/>
    </xf>
    <xf numFmtId="49" fontId="15" fillId="2" borderId="6" xfId="0" applyNumberFormat="1" applyFont="1" applyFill="1" applyBorder="1" applyAlignment="1">
      <alignment horizontal="center" vertical="top" shrinkToFit="1"/>
    </xf>
    <xf numFmtId="49" fontId="13" fillId="2" borderId="4" xfId="0" applyNumberFormat="1" applyFont="1" applyFill="1" applyBorder="1" applyAlignment="1">
      <alignment horizontal="center" vertical="top" shrinkToFit="1"/>
    </xf>
    <xf numFmtId="49" fontId="13" fillId="2" borderId="6" xfId="0" applyNumberFormat="1" applyFont="1" applyFill="1" applyBorder="1" applyAlignment="1">
      <alignment horizontal="center" vertical="top" shrinkToFit="1"/>
    </xf>
    <xf numFmtId="0" fontId="11" fillId="0" borderId="4" xfId="1" applyFont="1" applyFill="1" applyBorder="1" applyAlignment="1">
      <alignment horizontal="left" vertical="top" wrapText="1"/>
    </xf>
    <xf numFmtId="49" fontId="11" fillId="0" borderId="7" xfId="0" applyNumberFormat="1" applyFont="1" applyFill="1" applyBorder="1" applyAlignment="1">
      <alignment horizontal="center" vertical="top" shrinkToFit="1"/>
    </xf>
    <xf numFmtId="49" fontId="11" fillId="0" borderId="7" xfId="0" applyNumberFormat="1" applyFont="1" applyFill="1" applyBorder="1" applyAlignment="1">
      <alignment horizontal="center" vertical="top" wrapText="1"/>
    </xf>
    <xf numFmtId="4" fontId="11" fillId="0" borderId="6" xfId="1" applyNumberFormat="1" applyFont="1" applyFill="1" applyBorder="1" applyAlignment="1">
      <alignment horizontal="right" vertical="top" shrinkToFit="1"/>
    </xf>
    <xf numFmtId="4" fontId="10" fillId="5" borderId="1" xfId="1" applyNumberFormat="1" applyFont="1" applyFill="1" applyBorder="1" applyAlignment="1">
      <alignment horizontal="right" vertical="top" shrinkToFit="1"/>
    </xf>
    <xf numFmtId="0" fontId="1" fillId="2" borderId="1" xfId="1" applyFont="1" applyFill="1" applyBorder="1" applyAlignment="1">
      <alignment vertical="top" wrapText="1"/>
    </xf>
    <xf numFmtId="0" fontId="0" fillId="0" borderId="7" xfId="0" applyFont="1" applyBorder="1" applyAlignment="1">
      <alignment horizontal="center" vertical="top"/>
    </xf>
    <xf numFmtId="49" fontId="11" fillId="7" borderId="7" xfId="0" applyNumberFormat="1" applyFont="1" applyFill="1" applyBorder="1" applyAlignment="1">
      <alignment horizontal="center" vertical="top" shrinkToFit="1"/>
    </xf>
    <xf numFmtId="49" fontId="11" fillId="7" borderId="7" xfId="0" applyNumberFormat="1" applyFont="1" applyFill="1" applyBorder="1" applyAlignment="1">
      <alignment horizontal="center" vertical="top" wrapText="1"/>
    </xf>
    <xf numFmtId="49" fontId="10" fillId="2" borderId="4" xfId="0" applyNumberFormat="1" applyFont="1" applyFill="1" applyBorder="1" applyAlignment="1">
      <alignment horizontal="center" vertical="top" shrinkToFit="1"/>
    </xf>
    <xf numFmtId="49" fontId="15" fillId="2" borderId="4" xfId="0" applyNumberFormat="1" applyFont="1" applyFill="1" applyBorder="1" applyAlignment="1">
      <alignment horizontal="center" vertical="top" shrinkToFit="1"/>
    </xf>
    <xf numFmtId="49" fontId="10" fillId="2" borderId="6" xfId="0" applyNumberFormat="1" applyFont="1" applyFill="1" applyBorder="1" applyAlignment="1">
      <alignment horizontal="center" vertical="top" shrinkToFit="1"/>
    </xf>
    <xf numFmtId="49" fontId="15" fillId="2" borderId="3" xfId="0" applyNumberFormat="1" applyFont="1" applyFill="1" applyBorder="1" applyAlignment="1">
      <alignment horizontal="center" vertical="top" wrapText="1"/>
    </xf>
    <xf numFmtId="49" fontId="10" fillId="2" borderId="7" xfId="0" applyNumberFormat="1" applyFont="1" applyFill="1" applyBorder="1" applyAlignment="1">
      <alignment horizontal="center" vertical="top" wrapText="1"/>
    </xf>
    <xf numFmtId="49" fontId="15" fillId="2" borderId="7" xfId="0" applyNumberFormat="1" applyFont="1" applyFill="1" applyBorder="1" applyAlignment="1">
      <alignment horizontal="center" vertical="top" wrapText="1"/>
    </xf>
    <xf numFmtId="49" fontId="11" fillId="2" borderId="6" xfId="0" applyNumberFormat="1" applyFont="1" applyFill="1" applyBorder="1" applyAlignment="1">
      <alignment horizontal="center" vertical="top" shrinkToFit="1"/>
    </xf>
    <xf numFmtId="49" fontId="10" fillId="2" borderId="3" xfId="0" applyNumberFormat="1" applyFont="1" applyFill="1" applyBorder="1" applyAlignment="1">
      <alignment horizontal="center" vertical="top" shrinkToFit="1"/>
    </xf>
    <xf numFmtId="49" fontId="13" fillId="0" borderId="8" xfId="0" applyNumberFormat="1" applyFont="1" applyBorder="1" applyAlignment="1">
      <alignment vertical="top"/>
    </xf>
    <xf numFmtId="0" fontId="10" fillId="2" borderId="18" xfId="1" applyFont="1" applyFill="1" applyBorder="1" applyAlignment="1">
      <alignment vertical="top" wrapText="1"/>
    </xf>
    <xf numFmtId="49" fontId="10" fillId="2" borderId="8" xfId="0" applyNumberFormat="1" applyFont="1" applyFill="1" applyBorder="1" applyAlignment="1">
      <alignment horizontal="center" vertical="top" shrinkToFit="1"/>
    </xf>
    <xf numFmtId="0" fontId="23" fillId="0" borderId="7" xfId="0" applyFont="1" applyFill="1" applyBorder="1" applyAlignment="1">
      <alignment vertical="top" wrapText="1"/>
    </xf>
    <xf numFmtId="0" fontId="17" fillId="2" borderId="4" xfId="1" applyFont="1" applyFill="1" applyBorder="1" applyAlignment="1">
      <alignment vertical="top" wrapText="1"/>
    </xf>
    <xf numFmtId="49" fontId="17" fillId="2" borderId="7" xfId="0" applyNumberFormat="1" applyFont="1" applyFill="1" applyBorder="1" applyAlignment="1">
      <alignment horizontal="center" vertical="top" shrinkToFit="1"/>
    </xf>
    <xf numFmtId="0" fontId="10" fillId="0" borderId="4" xfId="1" applyFont="1" applyFill="1" applyBorder="1" applyAlignment="1">
      <alignment vertical="top" wrapText="1"/>
    </xf>
    <xf numFmtId="49" fontId="10" fillId="0" borderId="7" xfId="0" applyNumberFormat="1" applyFont="1" applyFill="1" applyBorder="1" applyAlignment="1">
      <alignment horizontal="center" vertical="top" shrinkToFit="1"/>
    </xf>
    <xf numFmtId="49" fontId="10" fillId="0" borderId="7" xfId="0" applyNumberFormat="1" applyFont="1" applyFill="1" applyBorder="1" applyAlignment="1">
      <alignment horizontal="center" vertical="top" wrapText="1"/>
    </xf>
    <xf numFmtId="0" fontId="8" fillId="0" borderId="1" xfId="1" applyFont="1" applyFill="1" applyBorder="1" applyAlignment="1">
      <alignment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4" fontId="6" fillId="0" borderId="2" xfId="1" applyNumberFormat="1" applyFont="1" applyFill="1" applyBorder="1" applyAlignment="1">
      <alignment horizontal="right" vertical="top" wrapText="1"/>
    </xf>
    <xf numFmtId="0" fontId="10" fillId="0" borderId="1" xfId="1" applyFont="1" applyFill="1" applyBorder="1" applyAlignment="1">
      <alignment vertical="top" wrapText="1"/>
    </xf>
    <xf numFmtId="0" fontId="10" fillId="4" borderId="2" xfId="1" applyFont="1" applyFill="1" applyBorder="1" applyAlignment="1">
      <alignment horizontal="center" vertical="top" wrapText="1"/>
    </xf>
    <xf numFmtId="4" fontId="10" fillId="5" borderId="2" xfId="1" applyNumberFormat="1" applyFont="1" applyFill="1" applyBorder="1" applyAlignment="1">
      <alignment horizontal="right" vertical="top" shrinkToFit="1"/>
    </xf>
    <xf numFmtId="0" fontId="10" fillId="4" borderId="4" xfId="1" applyFont="1" applyFill="1" applyBorder="1" applyAlignment="1">
      <alignment horizontal="center" vertical="top" wrapText="1"/>
    </xf>
    <xf numFmtId="0" fontId="13" fillId="4" borderId="1" xfId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shrinkToFit="1"/>
    </xf>
    <xf numFmtId="49" fontId="10" fillId="0" borderId="1" xfId="0" applyNumberFormat="1" applyFont="1" applyFill="1" applyBorder="1" applyAlignment="1">
      <alignment horizontal="center" vertical="top" wrapText="1"/>
    </xf>
    <xf numFmtId="0" fontId="12" fillId="0" borderId="1" xfId="1" applyFont="1" applyFill="1" applyBorder="1" applyAlignment="1">
      <alignment vertical="top" wrapText="1"/>
    </xf>
    <xf numFmtId="49" fontId="12" fillId="0" borderId="1" xfId="0" applyNumberFormat="1" applyFont="1" applyFill="1" applyBorder="1" applyAlignment="1">
      <alignment horizontal="center" vertical="top" shrinkToFit="1"/>
    </xf>
    <xf numFmtId="49" fontId="12" fillId="0" borderId="1" xfId="0" applyNumberFormat="1" applyFont="1" applyFill="1" applyBorder="1" applyAlignment="1">
      <alignment horizontal="center" vertical="top" wrapText="1"/>
    </xf>
    <xf numFmtId="0" fontId="10" fillId="4" borderId="1" xfId="1" applyFont="1" applyFill="1" applyBorder="1" applyAlignment="1">
      <alignment horizontal="center" vertical="top" wrapText="1"/>
    </xf>
    <xf numFmtId="49" fontId="10" fillId="4" borderId="1" xfId="0" applyNumberFormat="1" applyFont="1" applyFill="1" applyBorder="1" applyAlignment="1">
      <alignment horizontal="center" vertical="top" shrinkToFit="1"/>
    </xf>
    <xf numFmtId="0" fontId="13" fillId="5" borderId="0" xfId="0" applyFont="1" applyFill="1" applyBorder="1" applyAlignment="1">
      <alignment horizontal="center" vertical="top"/>
    </xf>
    <xf numFmtId="4" fontId="13" fillId="5" borderId="1" xfId="1" applyNumberFormat="1" applyFont="1" applyFill="1" applyBorder="1" applyAlignment="1">
      <alignment vertical="top"/>
    </xf>
    <xf numFmtId="0" fontId="10" fillId="2" borderId="3" xfId="1" applyFont="1" applyFill="1" applyBorder="1" applyAlignment="1">
      <alignment vertical="top" wrapText="1"/>
    </xf>
    <xf numFmtId="49" fontId="10" fillId="2" borderId="3" xfId="0" applyNumberFormat="1" applyFont="1" applyFill="1" applyBorder="1" applyAlignment="1">
      <alignment horizontal="center" vertical="top" wrapText="1"/>
    </xf>
    <xf numFmtId="4" fontId="13" fillId="0" borderId="3" xfId="1" applyNumberFormat="1" applyFont="1" applyFill="1" applyBorder="1" applyAlignment="1">
      <alignment vertical="top"/>
    </xf>
    <xf numFmtId="0" fontId="10" fillId="2" borderId="2" xfId="1" applyFont="1" applyFill="1" applyBorder="1" applyAlignment="1">
      <alignment vertical="top" wrapText="1"/>
    </xf>
    <xf numFmtId="49" fontId="10" fillId="2" borderId="2" xfId="0" applyNumberFormat="1" applyFont="1" applyFill="1" applyBorder="1" applyAlignment="1">
      <alignment horizontal="center" vertical="top" shrinkToFit="1"/>
    </xf>
    <xf numFmtId="49" fontId="13" fillId="0" borderId="20" xfId="0" applyNumberFormat="1" applyFont="1" applyBorder="1" applyAlignment="1">
      <alignment vertical="top"/>
    </xf>
    <xf numFmtId="4" fontId="13" fillId="0" borderId="2" xfId="1" applyNumberFormat="1" applyFont="1" applyFill="1" applyBorder="1" applyAlignment="1">
      <alignment vertical="top"/>
    </xf>
    <xf numFmtId="4" fontId="17" fillId="0" borderId="7" xfId="1" applyNumberFormat="1" applyFont="1" applyFill="1" applyBorder="1" applyAlignment="1">
      <alignment vertical="top"/>
    </xf>
    <xf numFmtId="49" fontId="17" fillId="0" borderId="4" xfId="0" applyNumberFormat="1" applyFont="1" applyFill="1" applyBorder="1" applyAlignment="1">
      <alignment horizontal="center" vertical="top" shrinkToFit="1"/>
    </xf>
    <xf numFmtId="49" fontId="17" fillId="0" borderId="6" xfId="0" applyNumberFormat="1" applyFont="1" applyFill="1" applyBorder="1" applyAlignment="1">
      <alignment horizontal="center" vertical="top" shrinkToFit="1"/>
    </xf>
    <xf numFmtId="49" fontId="17" fillId="0" borderId="3" xfId="0" applyNumberFormat="1" applyFont="1" applyFill="1" applyBorder="1" applyAlignment="1">
      <alignment horizontal="center" vertical="top" wrapText="1"/>
    </xf>
    <xf numFmtId="49" fontId="17" fillId="0" borderId="7" xfId="0" applyNumberFormat="1" applyFont="1" applyFill="1" applyBorder="1" applyAlignment="1">
      <alignment horizontal="center" vertical="top" wrapText="1"/>
    </xf>
    <xf numFmtId="49" fontId="11" fillId="2" borderId="4" xfId="0" applyNumberFormat="1" applyFont="1" applyFill="1" applyBorder="1" applyAlignment="1">
      <alignment horizontal="center" vertical="top" shrinkToFit="1"/>
    </xf>
    <xf numFmtId="4" fontId="1" fillId="0" borderId="1" xfId="1" applyNumberFormat="1" applyFont="1" applyFill="1" applyBorder="1" applyAlignment="1">
      <alignment vertical="top"/>
    </xf>
    <xf numFmtId="0" fontId="24" fillId="2" borderId="1" xfId="1" applyFont="1" applyBorder="1" applyAlignment="1">
      <alignment vertical="top" wrapText="1"/>
    </xf>
    <xf numFmtId="0" fontId="24" fillId="0" borderId="4" xfId="0" applyFont="1" applyBorder="1" applyAlignment="1">
      <alignment horizontal="center" vertical="top" wrapText="1"/>
    </xf>
    <xf numFmtId="0" fontId="24" fillId="0" borderId="5" xfId="0" applyFont="1" applyBorder="1" applyAlignment="1">
      <alignment horizontal="center" vertical="top" wrapText="1"/>
    </xf>
    <xf numFmtId="0" fontId="24" fillId="0" borderId="6" xfId="0" applyFont="1" applyBorder="1" applyAlignment="1">
      <alignment horizontal="center" vertical="top" wrapText="1"/>
    </xf>
    <xf numFmtId="4" fontId="16" fillId="2" borderId="2" xfId="1" applyNumberFormat="1" applyFont="1" applyFill="1" applyBorder="1" applyAlignment="1">
      <alignment horizontal="right" vertical="top" wrapText="1"/>
    </xf>
    <xf numFmtId="0" fontId="25" fillId="0" borderId="0" xfId="3"/>
    <xf numFmtId="4" fontId="2" fillId="0" borderId="1" xfId="1" applyNumberFormat="1" applyFill="1" applyBorder="1" applyAlignment="1">
      <alignment horizontal="right" vertical="top"/>
    </xf>
    <xf numFmtId="0" fontId="17" fillId="2" borderId="7" xfId="1" applyFont="1" applyFill="1" applyBorder="1" applyAlignment="1">
      <alignment vertical="top" wrapText="1"/>
    </xf>
    <xf numFmtId="0" fontId="17" fillId="0" borderId="2" xfId="1" applyFont="1" applyFill="1" applyBorder="1" applyAlignment="1">
      <alignment vertical="top" wrapText="1"/>
    </xf>
    <xf numFmtId="0" fontId="10" fillId="2" borderId="7" xfId="1" applyFont="1" applyFill="1" applyBorder="1" applyAlignment="1">
      <alignment vertical="top" wrapText="1"/>
    </xf>
    <xf numFmtId="49" fontId="10" fillId="2" borderId="7" xfId="0" applyNumberFormat="1" applyFont="1" applyFill="1" applyBorder="1" applyAlignment="1">
      <alignment horizontal="center" vertical="top" shrinkToFit="1"/>
    </xf>
    <xf numFmtId="4" fontId="10" fillId="0" borderId="7" xfId="1" applyNumberFormat="1" applyFont="1" applyFill="1" applyBorder="1" applyAlignment="1">
      <alignment horizontal="right" vertical="top" shrinkToFit="1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4" fontId="28" fillId="0" borderId="1" xfId="1" applyNumberFormat="1" applyFont="1" applyFill="1" applyBorder="1" applyAlignment="1">
      <alignment horizontal="right" vertical="top" shrinkToFit="1"/>
    </xf>
    <xf numFmtId="4" fontId="27" fillId="0" borderId="1" xfId="1" applyNumberFormat="1" applyFont="1" applyFill="1" applyBorder="1" applyAlignment="1">
      <alignment horizontal="right" vertical="top" shrinkToFit="1"/>
    </xf>
    <xf numFmtId="49" fontId="17" fillId="2" borderId="5" xfId="0" applyNumberFormat="1" applyFont="1" applyFill="1" applyBorder="1" applyAlignment="1">
      <alignment horizontal="center" vertical="top" shrinkToFit="1"/>
    </xf>
    <xf numFmtId="49" fontId="17" fillId="0" borderId="0" xfId="0" applyNumberFormat="1" applyFont="1" applyBorder="1" applyAlignment="1">
      <alignment vertical="top"/>
    </xf>
    <xf numFmtId="0" fontId="16" fillId="2" borderId="7" xfId="1" applyFont="1" applyFill="1" applyBorder="1" applyAlignment="1">
      <alignment vertical="top" wrapText="1"/>
    </xf>
    <xf numFmtId="49" fontId="16" fillId="2" borderId="7" xfId="0" applyNumberFormat="1" applyFont="1" applyFill="1" applyBorder="1" applyAlignment="1">
      <alignment horizontal="center" vertical="top" shrinkToFit="1"/>
    </xf>
    <xf numFmtId="49" fontId="14" fillId="0" borderId="8" xfId="0" applyNumberFormat="1" applyFont="1" applyBorder="1" applyAlignment="1">
      <alignment vertical="top"/>
    </xf>
    <xf numFmtId="49" fontId="16" fillId="0" borderId="7" xfId="0" applyNumberFormat="1" applyFont="1" applyFill="1" applyBorder="1" applyAlignment="1">
      <alignment horizontal="center" vertical="top" shrinkToFit="1"/>
    </xf>
    <xf numFmtId="4" fontId="16" fillId="0" borderId="7" xfId="1" applyNumberFormat="1" applyFont="1" applyFill="1" applyBorder="1" applyAlignment="1">
      <alignment horizontal="right" vertical="top" shrinkToFit="1"/>
    </xf>
    <xf numFmtId="4" fontId="29" fillId="0" borderId="13" xfId="33" applyNumberFormat="1" applyFont="1" applyFill="1" applyBorder="1" applyAlignment="1" applyProtection="1">
      <alignment horizontal="right" vertical="top" shrinkToFit="1"/>
    </xf>
    <xf numFmtId="49" fontId="15" fillId="2" borderId="2" xfId="0" applyNumberFormat="1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31" fillId="4" borderId="1" xfId="1" applyFont="1" applyFill="1" applyBorder="1" applyAlignment="1">
      <alignment vertical="top" wrapText="1"/>
    </xf>
    <xf numFmtId="0" fontId="31" fillId="0" borderId="1" xfId="0" applyFont="1" applyBorder="1" applyAlignment="1">
      <alignment vertical="top" wrapText="1"/>
    </xf>
    <xf numFmtId="0" fontId="5" fillId="5" borderId="4" xfId="0" applyFont="1" applyFill="1" applyBorder="1" applyAlignment="1">
      <alignment horizontal="center" vertical="top" wrapText="1"/>
    </xf>
    <xf numFmtId="0" fontId="5" fillId="5" borderId="5" xfId="0" applyFont="1" applyFill="1" applyBorder="1" applyAlignment="1">
      <alignment horizontal="center" vertical="top" wrapText="1"/>
    </xf>
    <xf numFmtId="0" fontId="5" fillId="5" borderId="6" xfId="0" applyFont="1" applyFill="1" applyBorder="1" applyAlignment="1">
      <alignment horizontal="center" vertical="top" wrapText="1"/>
    </xf>
    <xf numFmtId="4" fontId="7" fillId="4" borderId="1" xfId="1" applyNumberFormat="1" applyFont="1" applyFill="1" applyBorder="1" applyAlignment="1">
      <alignment vertical="top"/>
    </xf>
    <xf numFmtId="4" fontId="10" fillId="0" borderId="19" xfId="1" applyNumberFormat="1" applyFont="1" applyFill="1" applyBorder="1" applyAlignment="1">
      <alignment horizontal="right" vertical="top" shrinkToFit="1"/>
    </xf>
    <xf numFmtId="49" fontId="11" fillId="2" borderId="7" xfId="0" applyNumberFormat="1" applyFont="1" applyFill="1" applyBorder="1" applyAlignment="1">
      <alignment horizontal="center" vertical="top" shrinkToFit="1"/>
    </xf>
    <xf numFmtId="49" fontId="0" fillId="0" borderId="8" xfId="0" applyNumberFormat="1" applyFont="1" applyBorder="1" applyAlignment="1">
      <alignment vertical="top"/>
    </xf>
    <xf numFmtId="4" fontId="11" fillId="0" borderId="7" xfId="1" applyNumberFormat="1" applyFont="1" applyFill="1" applyBorder="1" applyAlignment="1">
      <alignment horizontal="right" vertical="top" shrinkToFit="1"/>
    </xf>
    <xf numFmtId="4" fontId="2" fillId="0" borderId="2" xfId="1" applyNumberFormat="1" applyFill="1" applyBorder="1" applyAlignment="1">
      <alignment horizontal="right" vertical="top"/>
    </xf>
    <xf numFmtId="49" fontId="15" fillId="2" borderId="0" xfId="0" applyNumberFormat="1" applyFont="1" applyFill="1" applyBorder="1" applyAlignment="1">
      <alignment horizontal="center" vertical="top" wrapText="1"/>
    </xf>
    <xf numFmtId="4" fontId="17" fillId="0" borderId="2" xfId="1" applyNumberFormat="1" applyFont="1" applyFill="1" applyBorder="1" applyAlignment="1">
      <alignment vertical="top"/>
    </xf>
    <xf numFmtId="0" fontId="29" fillId="0" borderId="13" xfId="14" applyNumberFormat="1" applyFont="1" applyBorder="1" applyAlignment="1" applyProtection="1">
      <alignment horizontal="left" vertical="top" wrapText="1"/>
    </xf>
    <xf numFmtId="49" fontId="17" fillId="0" borderId="7" xfId="0" applyNumberFormat="1" applyFont="1" applyFill="1" applyBorder="1" applyAlignment="1">
      <alignment vertical="top"/>
    </xf>
    <xf numFmtId="4" fontId="17" fillId="0" borderId="13" xfId="33" applyNumberFormat="1" applyFont="1" applyFill="1" applyBorder="1" applyAlignment="1" applyProtection="1">
      <alignment horizontal="right" vertical="top" shrinkToFit="1"/>
    </xf>
    <xf numFmtId="0" fontId="15" fillId="2" borderId="4" xfId="1" applyFont="1" applyFill="1" applyBorder="1" applyAlignment="1">
      <alignment vertical="top" wrapText="1"/>
    </xf>
    <xf numFmtId="49" fontId="10" fillId="2" borderId="16" xfId="0" applyNumberFormat="1" applyFont="1" applyFill="1" applyBorder="1" applyAlignment="1">
      <alignment horizontal="center" vertical="top" shrinkToFit="1"/>
    </xf>
    <xf numFmtId="49" fontId="10" fillId="2" borderId="20" xfId="0" applyNumberFormat="1" applyFont="1" applyFill="1" applyBorder="1" applyAlignment="1">
      <alignment horizontal="center" vertical="top" wrapText="1"/>
    </xf>
    <xf numFmtId="49" fontId="10" fillId="2" borderId="17" xfId="0" applyNumberFormat="1" applyFont="1" applyFill="1" applyBorder="1" applyAlignment="1">
      <alignment horizontal="center" vertical="top" shrinkToFit="1"/>
    </xf>
    <xf numFmtId="0" fontId="10" fillId="0" borderId="2" xfId="1" applyFont="1" applyFill="1" applyBorder="1" applyAlignment="1">
      <alignment vertical="top" wrapText="1"/>
    </xf>
    <xf numFmtId="49" fontId="11" fillId="0" borderId="17" xfId="0" applyNumberFormat="1" applyFont="1" applyFill="1" applyBorder="1" applyAlignment="1">
      <alignment horizontal="center" vertical="top" shrinkToFit="1"/>
    </xf>
    <xf numFmtId="49" fontId="10" fillId="0" borderId="17" xfId="0" applyNumberFormat="1" applyFont="1" applyFill="1" applyBorder="1" applyAlignment="1">
      <alignment horizontal="center" vertical="top" wrapText="1"/>
    </xf>
    <xf numFmtId="49" fontId="11" fillId="0" borderId="2" xfId="0" applyNumberFormat="1" applyFont="1" applyFill="1" applyBorder="1" applyAlignment="1">
      <alignment horizontal="center" vertical="top" shrinkToFit="1"/>
    </xf>
    <xf numFmtId="4" fontId="10" fillId="0" borderId="2" xfId="1" applyNumberFormat="1" applyFont="1" applyFill="1" applyBorder="1" applyAlignment="1">
      <alignment horizontal="right" vertical="top" shrinkToFit="1"/>
    </xf>
    <xf numFmtId="0" fontId="29" fillId="0" borderId="7" xfId="14" applyNumberFormat="1" applyFont="1" applyFill="1" applyBorder="1" applyAlignment="1" applyProtection="1">
      <alignment horizontal="left" vertical="top" wrapText="1"/>
    </xf>
    <xf numFmtId="4" fontId="29" fillId="0" borderId="7" xfId="33" applyNumberFormat="1" applyFont="1" applyFill="1" applyBorder="1" applyAlignment="1" applyProtection="1">
      <alignment horizontal="right" vertical="top" shrinkToFit="1"/>
    </xf>
    <xf numFmtId="0" fontId="13" fillId="2" borderId="3" xfId="1" applyFont="1" applyFill="1" applyBorder="1" applyAlignment="1">
      <alignment vertical="top" wrapText="1"/>
    </xf>
    <xf numFmtId="49" fontId="17" fillId="2" borderId="3" xfId="0" applyNumberFormat="1" applyFont="1" applyFill="1" applyBorder="1" applyAlignment="1">
      <alignment horizontal="center" vertical="top" shrinkToFit="1"/>
    </xf>
    <xf numFmtId="4" fontId="27" fillId="0" borderId="3" xfId="1" applyNumberFormat="1" applyFont="1" applyFill="1" applyBorder="1" applyAlignment="1">
      <alignment horizontal="right" vertical="top" shrinkToFit="1"/>
    </xf>
    <xf numFmtId="4" fontId="17" fillId="0" borderId="3" xfId="1" applyNumberFormat="1" applyFont="1" applyFill="1" applyBorder="1" applyAlignment="1">
      <alignment horizontal="right" vertical="top" shrinkToFit="1"/>
    </xf>
    <xf numFmtId="49" fontId="10" fillId="0" borderId="2" xfId="0" applyNumberFormat="1" applyFont="1" applyFill="1" applyBorder="1" applyAlignment="1">
      <alignment horizontal="center" vertical="top" shrinkToFit="1"/>
    </xf>
    <xf numFmtId="49" fontId="10" fillId="2" borderId="2" xfId="0" applyNumberFormat="1" applyFont="1" applyFill="1" applyBorder="1" applyAlignment="1">
      <alignment horizontal="center" vertical="top" wrapText="1"/>
    </xf>
    <xf numFmtId="4" fontId="17" fillId="0" borderId="7" xfId="1" applyNumberFormat="1" applyFont="1" applyFill="1" applyBorder="1" applyAlignment="1">
      <alignment horizontal="right" vertical="top" shrinkToFit="1"/>
    </xf>
    <xf numFmtId="0" fontId="17" fillId="3" borderId="8" xfId="0" applyFont="1" applyFill="1" applyBorder="1" applyAlignment="1">
      <alignment horizontal="center" vertical="top"/>
    </xf>
    <xf numFmtId="0" fontId="29" fillId="0" borderId="7" xfId="14" applyNumberFormat="1" applyFont="1" applyBorder="1" applyAlignment="1" applyProtection="1">
      <alignment horizontal="left" vertical="top" wrapText="1"/>
    </xf>
    <xf numFmtId="4" fontId="27" fillId="0" borderId="1" xfId="1" applyNumberFormat="1" applyFont="1" applyFill="1" applyBorder="1" applyAlignment="1">
      <alignment vertical="top"/>
    </xf>
    <xf numFmtId="0" fontId="17" fillId="0" borderId="0" xfId="1" applyFont="1" applyFill="1" applyBorder="1" applyAlignment="1">
      <alignment vertical="top" wrapText="1"/>
    </xf>
    <xf numFmtId="0" fontId="29" fillId="0" borderId="8" xfId="14" applyNumberFormat="1" applyFont="1" applyBorder="1" applyAlignment="1" applyProtection="1">
      <alignment horizontal="left" vertical="top" wrapText="1"/>
    </xf>
    <xf numFmtId="49" fontId="17" fillId="2" borderId="21" xfId="0" applyNumberFormat="1" applyFont="1" applyFill="1" applyBorder="1" applyAlignment="1">
      <alignment horizontal="center" vertical="top" shrinkToFit="1"/>
    </xf>
    <xf numFmtId="49" fontId="17" fillId="2" borderId="8" xfId="0" applyNumberFormat="1" applyFont="1" applyFill="1" applyBorder="1" applyAlignment="1">
      <alignment horizontal="center" vertical="top" shrinkToFit="1"/>
    </xf>
    <xf numFmtId="4" fontId="29" fillId="0" borderId="8" xfId="33" applyNumberFormat="1" applyFont="1" applyFill="1" applyBorder="1" applyAlignment="1" applyProtection="1">
      <alignment horizontal="right" vertical="top" shrinkToFit="1"/>
    </xf>
    <xf numFmtId="0" fontId="0" fillId="0" borderId="7" xfId="0" applyFill="1" applyBorder="1" applyAlignment="1">
      <alignment horizontal="center" vertical="top"/>
    </xf>
    <xf numFmtId="3" fontId="0" fillId="0" borderId="0" xfId="0" applyNumberFormat="1"/>
    <xf numFmtId="0" fontId="17" fillId="0" borderId="1" xfId="1" applyFont="1" applyFill="1" applyBorder="1" applyAlignment="1">
      <alignment horizontal="left" vertical="top" wrapText="1"/>
    </xf>
    <xf numFmtId="49" fontId="17" fillId="0" borderId="18" xfId="0" applyNumberFormat="1" applyFont="1" applyFill="1" applyBorder="1" applyAlignment="1">
      <alignment horizontal="center" vertical="top" shrinkToFit="1"/>
    </xf>
    <xf numFmtId="0" fontId="10" fillId="12" borderId="1" xfId="1" applyFont="1" applyFill="1" applyBorder="1" applyAlignment="1">
      <alignment vertical="top" wrapText="1"/>
    </xf>
    <xf numFmtId="0" fontId="10" fillId="12" borderId="7" xfId="1" applyFont="1" applyFill="1" applyBorder="1" applyAlignment="1">
      <alignment vertical="top" wrapText="1"/>
    </xf>
    <xf numFmtId="4" fontId="2" fillId="13" borderId="1" xfId="1" applyNumberFormat="1" applyFill="1" applyBorder="1" applyAlignment="1">
      <alignment horizontal="right" vertical="top"/>
    </xf>
    <xf numFmtId="0" fontId="25" fillId="0" borderId="7" xfId="3" applyFill="1" applyBorder="1"/>
    <xf numFmtId="0" fontId="25" fillId="0" borderId="7" xfId="3" applyFill="1" applyBorder="1" applyAlignment="1">
      <alignment horizontal="center" vertical="top" wrapText="1"/>
    </xf>
    <xf numFmtId="0" fontId="25" fillId="0" borderId="7" xfId="3" applyFill="1" applyBorder="1" applyAlignment="1">
      <alignment horizontal="center" vertical="center" wrapText="1"/>
    </xf>
    <xf numFmtId="0" fontId="25" fillId="0" borderId="7" xfId="3" applyFill="1" applyBorder="1" applyAlignment="1">
      <alignment wrapText="1"/>
    </xf>
    <xf numFmtId="0" fontId="25" fillId="0" borderId="7" xfId="3" applyFont="1" applyFill="1" applyBorder="1" applyAlignment="1">
      <alignment horizontal="left" wrapText="1"/>
    </xf>
    <xf numFmtId="3" fontId="25" fillId="0" borderId="7" xfId="3" applyNumberFormat="1" applyFont="1" applyFill="1" applyBorder="1" applyAlignment="1">
      <alignment horizontal="right"/>
    </xf>
    <xf numFmtId="3" fontId="25" fillId="0" borderId="7" xfId="3" applyNumberFormat="1" applyFill="1" applyBorder="1"/>
    <xf numFmtId="165" fontId="25" fillId="0" borderId="7" xfId="3" applyNumberFormat="1" applyFill="1" applyBorder="1"/>
    <xf numFmtId="3" fontId="25" fillId="0" borderId="7" xfId="3" applyNumberFormat="1" applyFill="1" applyBorder="1" applyAlignment="1">
      <alignment wrapText="1"/>
    </xf>
    <xf numFmtId="164" fontId="25" fillId="0" borderId="7" xfId="3" applyNumberFormat="1" applyFill="1" applyBorder="1"/>
    <xf numFmtId="3" fontId="30" fillId="0" borderId="7" xfId="3" applyNumberFormat="1" applyFont="1" applyFill="1" applyBorder="1"/>
    <xf numFmtId="3" fontId="30" fillId="0" borderId="7" xfId="3" applyNumberFormat="1" applyFont="1" applyFill="1" applyBorder="1" applyAlignment="1">
      <alignment wrapText="1"/>
    </xf>
    <xf numFmtId="0" fontId="0" fillId="0" borderId="0" xfId="0" applyFill="1"/>
    <xf numFmtId="0" fontId="29" fillId="0" borderId="0" xfId="14" applyNumberFormat="1" applyFont="1" applyBorder="1" applyAlignment="1" applyProtection="1">
      <alignment horizontal="left" vertical="top" wrapText="1"/>
    </xf>
    <xf numFmtId="0" fontId="1" fillId="2" borderId="2" xfId="1" applyFont="1" applyFill="1" applyBorder="1" applyAlignment="1">
      <alignment horizontal="left" vertical="top" wrapText="1"/>
    </xf>
    <xf numFmtId="49" fontId="13" fillId="2" borderId="2" xfId="0" applyNumberFormat="1" applyFont="1" applyFill="1" applyBorder="1" applyAlignment="1">
      <alignment horizontal="center" vertical="top" shrinkToFit="1"/>
    </xf>
    <xf numFmtId="0" fontId="13" fillId="0" borderId="20" xfId="0" applyFont="1" applyBorder="1" applyAlignment="1">
      <alignment horizontal="center" vertical="top"/>
    </xf>
    <xf numFmtId="4" fontId="13" fillId="0" borderId="2" xfId="1" applyNumberFormat="1" applyFont="1" applyFill="1" applyBorder="1" applyAlignment="1">
      <alignment horizontal="right" vertical="top" shrinkToFit="1"/>
    </xf>
    <xf numFmtId="49" fontId="17" fillId="2" borderId="7" xfId="0" applyNumberFormat="1" applyFont="1" applyFill="1" applyBorder="1" applyAlignment="1">
      <alignment horizontal="center" vertical="top" wrapText="1"/>
    </xf>
    <xf numFmtId="4" fontId="15" fillId="5" borderId="1" xfId="1" applyNumberFormat="1" applyFont="1" applyFill="1" applyBorder="1" applyAlignment="1">
      <alignment horizontal="right" vertical="top" shrinkToFit="1"/>
    </xf>
    <xf numFmtId="4" fontId="17" fillId="5" borderId="1" xfId="1" applyNumberFormat="1" applyFont="1" applyFill="1" applyBorder="1" applyAlignment="1">
      <alignment vertical="top"/>
    </xf>
    <xf numFmtId="4" fontId="18" fillId="5" borderId="1" xfId="1" applyNumberFormat="1" applyFont="1" applyFill="1" applyBorder="1" applyAlignment="1">
      <alignment vertical="top"/>
    </xf>
    <xf numFmtId="0" fontId="3" fillId="2" borderId="0" xfId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center"/>
    </xf>
    <xf numFmtId="0" fontId="4" fillId="2" borderId="12" xfId="1" applyFont="1" applyFill="1" applyBorder="1" applyAlignment="1">
      <alignment horizontal="right"/>
    </xf>
    <xf numFmtId="0" fontId="4" fillId="2" borderId="1" xfId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2" fillId="2" borderId="4" xfId="1" applyFont="1" applyBorder="1" applyAlignment="1">
      <alignment horizontal="center" vertical="center" wrapText="1"/>
    </xf>
    <xf numFmtId="0" fontId="2" fillId="2" borderId="5" xfId="1" applyFont="1" applyBorder="1" applyAlignment="1">
      <alignment horizontal="center" vertical="center" wrapText="1"/>
    </xf>
    <xf numFmtId="0" fontId="2" fillId="2" borderId="6" xfId="1" applyFont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49" fontId="20" fillId="4" borderId="4" xfId="0" applyNumberFormat="1" applyFont="1" applyFill="1" applyBorder="1" applyAlignment="1">
      <alignment horizontal="center" vertical="top" wrapText="1"/>
    </xf>
    <xf numFmtId="49" fontId="20" fillId="4" borderId="5" xfId="0" applyNumberFormat="1" applyFont="1" applyFill="1" applyBorder="1" applyAlignment="1">
      <alignment horizontal="center" vertical="top" wrapText="1"/>
    </xf>
    <xf numFmtId="49" fontId="20" fillId="4" borderId="6" xfId="0" applyNumberFormat="1" applyFont="1" applyFill="1" applyBorder="1" applyAlignment="1">
      <alignment horizontal="center" vertical="top" wrapText="1"/>
    </xf>
    <xf numFmtId="49" fontId="20" fillId="5" borderId="14" xfId="0" applyNumberFormat="1" applyFont="1" applyFill="1" applyBorder="1" applyAlignment="1">
      <alignment horizontal="center" vertical="top"/>
    </xf>
    <xf numFmtId="49" fontId="20" fillId="5" borderId="0" xfId="0" applyNumberFormat="1" applyFont="1" applyFill="1" applyBorder="1" applyAlignment="1">
      <alignment horizontal="center" vertical="top"/>
    </xf>
    <xf numFmtId="49" fontId="20" fillId="5" borderId="15" xfId="0" applyNumberFormat="1" applyFont="1" applyFill="1" applyBorder="1" applyAlignment="1">
      <alignment horizontal="center" vertical="top"/>
    </xf>
    <xf numFmtId="49" fontId="22" fillId="4" borderId="7" xfId="0" applyNumberFormat="1" applyFont="1" applyFill="1" applyBorder="1" applyAlignment="1">
      <alignment horizontal="center" vertical="top" shrinkToFit="1"/>
    </xf>
    <xf numFmtId="49" fontId="20" fillId="4" borderId="16" xfId="0" applyNumberFormat="1" applyFont="1" applyFill="1" applyBorder="1" applyAlignment="1">
      <alignment horizontal="center" vertical="top" shrinkToFit="1"/>
    </xf>
    <xf numFmtId="49" fontId="20" fillId="4" borderId="12" xfId="0" applyNumberFormat="1" applyFont="1" applyFill="1" applyBorder="1" applyAlignment="1">
      <alignment horizontal="center" vertical="top" shrinkToFit="1"/>
    </xf>
    <xf numFmtId="49" fontId="20" fillId="4" borderId="17" xfId="0" applyNumberFormat="1" applyFont="1" applyFill="1" applyBorder="1" applyAlignment="1">
      <alignment horizontal="center" vertical="top" shrinkToFit="1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30" fillId="0" borderId="9" xfId="3" applyFont="1" applyFill="1" applyBorder="1" applyAlignment="1">
      <alignment horizontal="left"/>
    </xf>
    <xf numFmtId="0" fontId="30" fillId="0" borderId="11" xfId="3" applyFont="1" applyFill="1" applyBorder="1" applyAlignment="1">
      <alignment horizontal="left"/>
    </xf>
    <xf numFmtId="0" fontId="30" fillId="0" borderId="10" xfId="3" applyFont="1" applyFill="1" applyBorder="1" applyAlignment="1">
      <alignment horizontal="left"/>
    </xf>
    <xf numFmtId="0" fontId="30" fillId="0" borderId="0" xfId="3" applyFont="1" applyAlignment="1">
      <alignment horizontal="center"/>
    </xf>
    <xf numFmtId="0" fontId="30" fillId="0" borderId="9" xfId="3" applyFont="1" applyFill="1" applyBorder="1" applyAlignment="1">
      <alignment horizontal="center"/>
    </xf>
    <xf numFmtId="0" fontId="25" fillId="0" borderId="11" xfId="3" applyFill="1" applyBorder="1" applyAlignment="1">
      <alignment horizontal="center"/>
    </xf>
    <xf numFmtId="0" fontId="25" fillId="0" borderId="10" xfId="3" applyFill="1" applyBorder="1" applyAlignment="1">
      <alignment horizontal="center"/>
    </xf>
    <xf numFmtId="0" fontId="30" fillId="0" borderId="7" xfId="3" applyFont="1" applyFill="1" applyBorder="1" applyAlignment="1">
      <alignment horizontal="center"/>
    </xf>
  </cellXfs>
  <cellStyles count="36">
    <cellStyle name="br" xfId="4"/>
    <cellStyle name="col" xfId="5"/>
    <cellStyle name="st16" xfId="2"/>
    <cellStyle name="style0" xfId="6"/>
    <cellStyle name="td" xfId="7"/>
    <cellStyle name="tr" xfId="8"/>
    <cellStyle name="xl21" xfId="9"/>
    <cellStyle name="xl22" xfId="10"/>
    <cellStyle name="xl23" xfId="11"/>
    <cellStyle name="xl24" xfId="12"/>
    <cellStyle name="xl25" xfId="13"/>
    <cellStyle name="xl26" xfId="14"/>
    <cellStyle name="xl27" xfId="15"/>
    <cellStyle name="xl28" xfId="16"/>
    <cellStyle name="xl29" xfId="17"/>
    <cellStyle name="xl30" xfId="18"/>
    <cellStyle name="xl31" xfId="19"/>
    <cellStyle name="xl32" xfId="20"/>
    <cellStyle name="xl33" xfId="21"/>
    <cellStyle name="xl34" xfId="22"/>
    <cellStyle name="xl35" xfId="23"/>
    <cellStyle name="xl36" xfId="24"/>
    <cellStyle name="xl37" xfId="25"/>
    <cellStyle name="xl38" xfId="26"/>
    <cellStyle name="xl39" xfId="27"/>
    <cellStyle name="xl40" xfId="28"/>
    <cellStyle name="xl41" xfId="29"/>
    <cellStyle name="xl42" xfId="30"/>
    <cellStyle name="xl43" xfId="31"/>
    <cellStyle name="xl44" xfId="32"/>
    <cellStyle name="xl45" xfId="33"/>
    <cellStyle name="xl46" xfId="34"/>
    <cellStyle name="xl64" xfId="35"/>
    <cellStyle name="Обычный" xfId="0" builtinId="0"/>
    <cellStyle name="Обычный 2" xfId="3"/>
    <cellStyle name="Обычный_Рачет расходов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8"/>
  <sheetViews>
    <sheetView showGridLines="0" tabSelected="1" workbookViewId="0">
      <pane xSplit="2" ySplit="18" topLeftCell="C190" activePane="bottomRight" state="frozen"/>
      <selection pane="topRight" activeCell="C1" sqref="C1"/>
      <selection pane="bottomLeft" activeCell="A16" sqref="A16"/>
      <selection pane="bottomRight" activeCell="K130" sqref="K130"/>
    </sheetView>
  </sheetViews>
  <sheetFormatPr defaultRowHeight="12.75" outlineLevelRow="7" x14ac:dyDescent="0.2"/>
  <cols>
    <col min="1" max="1" width="73.5703125" style="1" customWidth="1"/>
    <col min="2" max="2" width="5.5703125" style="1" customWidth="1"/>
    <col min="3" max="3" width="12.85546875" style="1" customWidth="1"/>
    <col min="4" max="4" width="5.140625" style="1" customWidth="1"/>
    <col min="5" max="5" width="5.28515625" style="1" customWidth="1"/>
    <col min="6" max="6" width="11.85546875" style="1" customWidth="1"/>
    <col min="7" max="8" width="12.85546875" style="1" customWidth="1"/>
    <col min="9" max="9" width="12.7109375" style="1" customWidth="1"/>
    <col min="10" max="10" width="11.7109375" style="1" customWidth="1"/>
    <col min="11" max="11" width="12" style="1" customWidth="1"/>
    <col min="12" max="13" width="12.28515625" style="1" customWidth="1"/>
    <col min="14" max="16384" width="9.140625" style="1"/>
  </cols>
  <sheetData>
    <row r="1" spans="1:13" ht="15.75" customHeight="1" x14ac:dyDescent="0.25">
      <c r="A1" s="251" t="s">
        <v>236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  <c r="L1" s="251"/>
      <c r="M1" s="251"/>
    </row>
    <row r="2" spans="1:13" ht="15.75" x14ac:dyDescent="0.25">
      <c r="A2" s="252"/>
      <c r="B2" s="252"/>
      <c r="C2" s="252"/>
      <c r="D2" s="252"/>
      <c r="E2" s="252"/>
      <c r="F2" s="252"/>
      <c r="G2" s="252"/>
      <c r="H2" s="252"/>
      <c r="I2" s="252"/>
      <c r="J2" s="252"/>
      <c r="K2" s="252"/>
      <c r="L2" s="252"/>
      <c r="M2" s="252"/>
    </row>
    <row r="3" spans="1:13" x14ac:dyDescent="0.2">
      <c r="A3" s="253" t="s">
        <v>0</v>
      </c>
      <c r="B3" s="253"/>
      <c r="C3" s="253"/>
      <c r="D3" s="253"/>
      <c r="E3" s="253"/>
      <c r="F3" s="253"/>
      <c r="G3" s="253"/>
      <c r="H3" s="253"/>
      <c r="I3" s="253"/>
      <c r="J3" s="253"/>
      <c r="K3" s="253"/>
      <c r="L3" s="253"/>
      <c r="M3" s="253"/>
    </row>
    <row r="4" spans="1:13" ht="34.5" customHeight="1" x14ac:dyDescent="0.2">
      <c r="A4" s="254" t="s">
        <v>1</v>
      </c>
      <c r="B4" s="255" t="s">
        <v>62</v>
      </c>
      <c r="C4" s="256"/>
      <c r="D4" s="256"/>
      <c r="E4" s="257"/>
      <c r="F4" s="258" t="s">
        <v>204</v>
      </c>
      <c r="G4" s="263" t="s">
        <v>230</v>
      </c>
      <c r="H4" s="260" t="s">
        <v>6</v>
      </c>
      <c r="I4" s="261"/>
      <c r="J4" s="262"/>
      <c r="K4" s="260" t="s">
        <v>7</v>
      </c>
      <c r="L4" s="261"/>
      <c r="M4" s="262"/>
    </row>
    <row r="5" spans="1:13" ht="25.5" x14ac:dyDescent="0.2">
      <c r="A5" s="254"/>
      <c r="B5" s="11" t="s">
        <v>2</v>
      </c>
      <c r="C5" s="11" t="s">
        <v>3</v>
      </c>
      <c r="D5" s="11" t="s">
        <v>4</v>
      </c>
      <c r="E5" s="11" t="s">
        <v>5</v>
      </c>
      <c r="F5" s="259"/>
      <c r="G5" s="264"/>
      <c r="H5" s="2" t="s">
        <v>181</v>
      </c>
      <c r="I5" s="2" t="s">
        <v>205</v>
      </c>
      <c r="J5" s="2" t="s">
        <v>225</v>
      </c>
      <c r="K5" s="2" t="s">
        <v>181</v>
      </c>
      <c r="L5" s="2" t="s">
        <v>205</v>
      </c>
      <c r="M5" s="2" t="s">
        <v>225</v>
      </c>
    </row>
    <row r="6" spans="1:13" ht="15" x14ac:dyDescent="0.2">
      <c r="A6" s="13" t="s">
        <v>8</v>
      </c>
      <c r="B6" s="275"/>
      <c r="C6" s="276"/>
      <c r="D6" s="276"/>
      <c r="E6" s="277"/>
      <c r="F6" s="53">
        <f t="shared" ref="F6" si="0">F8-F15</f>
        <v>0</v>
      </c>
      <c r="G6" s="53">
        <f t="shared" ref="G6" si="1">G8-G15</f>
        <v>-848692.21999999974</v>
      </c>
      <c r="H6" s="53">
        <f t="shared" ref="H6:M6" si="2">H8-H15</f>
        <v>-1069167</v>
      </c>
      <c r="I6" s="53">
        <f t="shared" si="2"/>
        <v>301461</v>
      </c>
      <c r="J6" s="53">
        <f t="shared" si="2"/>
        <v>293553</v>
      </c>
      <c r="K6" s="53">
        <f t="shared" si="2"/>
        <v>0</v>
      </c>
      <c r="L6" s="53">
        <f t="shared" si="2"/>
        <v>0</v>
      </c>
      <c r="M6" s="53">
        <f t="shared" si="2"/>
        <v>0</v>
      </c>
    </row>
    <row r="7" spans="1:13" ht="15" x14ac:dyDescent="0.2">
      <c r="A7" s="180" t="s">
        <v>202</v>
      </c>
      <c r="B7" s="182"/>
      <c r="C7" s="183"/>
      <c r="D7" s="183"/>
      <c r="E7" s="184"/>
      <c r="F7" s="185">
        <f t="shared" ref="F7" si="3">F14-F18</f>
        <v>0</v>
      </c>
      <c r="G7" s="185">
        <f>G14-G18</f>
        <v>-848692.21999999974</v>
      </c>
      <c r="H7" s="185">
        <f>H14-H18</f>
        <v>-1069167</v>
      </c>
      <c r="I7" s="185">
        <f t="shared" ref="I7:K7" si="4">I14-I18</f>
        <v>301461</v>
      </c>
      <c r="J7" s="185">
        <f t="shared" si="4"/>
        <v>293553</v>
      </c>
      <c r="K7" s="185">
        <f t="shared" si="4"/>
        <v>0</v>
      </c>
      <c r="L7" s="185">
        <f>L14-L18-83500</f>
        <v>0</v>
      </c>
      <c r="M7" s="185">
        <f>M14-M18-166500</f>
        <v>0</v>
      </c>
    </row>
    <row r="8" spans="1:13" ht="15" x14ac:dyDescent="0.2">
      <c r="A8" s="13" t="s">
        <v>84</v>
      </c>
      <c r="B8" s="275"/>
      <c r="C8" s="276"/>
      <c r="D8" s="276"/>
      <c r="E8" s="277"/>
      <c r="F8" s="53">
        <f>F9+F13+F11+F12+F10</f>
        <v>3794270</v>
      </c>
      <c r="G8" s="53">
        <f>G9+G13+G11+G12+G10</f>
        <v>4859889.8</v>
      </c>
      <c r="H8" s="53">
        <f>H9+H13+H11+H12+H10</f>
        <v>5559259</v>
      </c>
      <c r="I8" s="53">
        <f t="shared" ref="I8:J8" si="5">I9+I13+I11+I12+I10</f>
        <v>3967176</v>
      </c>
      <c r="J8" s="53">
        <f t="shared" si="5"/>
        <v>3971839</v>
      </c>
      <c r="K8" s="53">
        <f>K9+K13+K11+K12+K10</f>
        <v>3885373</v>
      </c>
      <c r="L8" s="53">
        <f t="shared" ref="L8:M8" si="6">L9+L13+L11+L12+L10</f>
        <v>3370099</v>
      </c>
      <c r="M8" s="53">
        <f t="shared" si="6"/>
        <v>4903598.95</v>
      </c>
    </row>
    <row r="9" spans="1:13" ht="25.5" x14ac:dyDescent="0.2">
      <c r="A9" s="14" t="s">
        <v>201</v>
      </c>
      <c r="B9" s="275"/>
      <c r="C9" s="276"/>
      <c r="D9" s="276"/>
      <c r="E9" s="277"/>
      <c r="F9" s="157">
        <f>900116+F178+F179+F184+F185+F190+F191+F198+F204</f>
        <v>948116</v>
      </c>
      <c r="G9" s="157">
        <f>948116+G178+G179+G184+G185+G190+G191</f>
        <v>948116</v>
      </c>
      <c r="H9" s="157">
        <f>1043923+H178+H179+H184+H185+H190+H191</f>
        <v>1065764</v>
      </c>
      <c r="I9" s="157">
        <f>1019923+I178+I179+I184+I185+I190+I191</f>
        <v>1019923</v>
      </c>
      <c r="J9" s="157">
        <f>1019923+J178+J179+J184+J185+J190+J191</f>
        <v>1019923</v>
      </c>
      <c r="K9" s="157">
        <f>1043923+K178+K179+K184+K185+K190+K191</f>
        <v>1043923</v>
      </c>
      <c r="L9" s="157">
        <f>1019923+L178+L179+L184+L185+L190+L191</f>
        <v>1019923</v>
      </c>
      <c r="M9" s="157">
        <f>1019923+M178+M179+M184+M185+M190+M191</f>
        <v>1019923</v>
      </c>
    </row>
    <row r="10" spans="1:13" ht="15" x14ac:dyDescent="0.2">
      <c r="A10" s="14" t="s">
        <v>85</v>
      </c>
      <c r="B10" s="163"/>
      <c r="C10" s="164"/>
      <c r="D10" s="164"/>
      <c r="E10" s="165"/>
      <c r="F10" s="54">
        <f>F111+F174+F181+F187+F194+F206</f>
        <v>0</v>
      </c>
      <c r="G10" s="54">
        <f>G111+G174+G181+G187+G194+G200+G206</f>
        <v>999999</v>
      </c>
      <c r="H10" s="54">
        <f t="shared" ref="H10:M10" si="7">H111+H174+H181+H187+H194+H206</f>
        <v>1528838</v>
      </c>
      <c r="I10" s="54">
        <f t="shared" si="7"/>
        <v>0</v>
      </c>
      <c r="J10" s="54">
        <f t="shared" si="7"/>
        <v>0</v>
      </c>
      <c r="K10" s="54">
        <f t="shared" si="7"/>
        <v>0</v>
      </c>
      <c r="L10" s="54">
        <f t="shared" si="7"/>
        <v>0</v>
      </c>
      <c r="M10" s="54">
        <f t="shared" si="7"/>
        <v>1528836.95</v>
      </c>
    </row>
    <row r="11" spans="1:13" ht="15" x14ac:dyDescent="0.2">
      <c r="A11" s="14" t="s">
        <v>86</v>
      </c>
      <c r="B11" s="163"/>
      <c r="C11" s="164"/>
      <c r="D11" s="164"/>
      <c r="E11" s="165"/>
      <c r="F11" s="54">
        <f t="shared" ref="F11" si="8">F211</f>
        <v>36100</v>
      </c>
      <c r="G11" s="54">
        <f t="shared" ref="G11:M11" si="9">G211</f>
        <v>36100</v>
      </c>
      <c r="H11" s="54">
        <f t="shared" si="9"/>
        <v>44848</v>
      </c>
      <c r="I11" s="54">
        <f t="shared" si="9"/>
        <v>49434</v>
      </c>
      <c r="J11" s="54">
        <f t="shared" si="9"/>
        <v>54097</v>
      </c>
      <c r="K11" s="54">
        <f t="shared" si="9"/>
        <v>44848</v>
      </c>
      <c r="L11" s="54">
        <f t="shared" si="9"/>
        <v>49434</v>
      </c>
      <c r="M11" s="54">
        <f t="shared" si="9"/>
        <v>54097</v>
      </c>
    </row>
    <row r="12" spans="1:13" ht="15" x14ac:dyDescent="0.2">
      <c r="A12" s="15" t="s">
        <v>9</v>
      </c>
      <c r="B12" s="275"/>
      <c r="C12" s="276"/>
      <c r="D12" s="276"/>
      <c r="E12" s="277"/>
      <c r="F12" s="55">
        <f>F96+F99+F106+F117+F146+F177+F183+F189+F197+F208-F111</f>
        <v>732945</v>
      </c>
      <c r="G12" s="55">
        <f>G96+G99+G106+G117+G146+G177+G183+G189+G197+G203+G208-G111</f>
        <v>798565.8</v>
      </c>
      <c r="H12" s="55">
        <f t="shared" ref="H12:M12" si="10">H96+H99+H106+H117+H146+H177+H183+H189+H197+H208-H111</f>
        <v>842700</v>
      </c>
      <c r="I12" s="55">
        <f t="shared" si="10"/>
        <v>816000</v>
      </c>
      <c r="J12" s="55">
        <f t="shared" si="10"/>
        <v>816000</v>
      </c>
      <c r="K12" s="55">
        <f t="shared" si="10"/>
        <v>586000</v>
      </c>
      <c r="L12" s="55">
        <f t="shared" si="10"/>
        <v>0</v>
      </c>
      <c r="M12" s="55">
        <f t="shared" si="10"/>
        <v>0</v>
      </c>
    </row>
    <row r="13" spans="1:13" ht="15" x14ac:dyDescent="0.2">
      <c r="A13" s="15" t="s">
        <v>10</v>
      </c>
      <c r="B13" s="275"/>
      <c r="C13" s="276"/>
      <c r="D13" s="276"/>
      <c r="E13" s="277"/>
      <c r="F13" s="157">
        <v>2077109</v>
      </c>
      <c r="G13" s="157">
        <v>2077109</v>
      </c>
      <c r="H13" s="228">
        <v>2077109</v>
      </c>
      <c r="I13" s="228">
        <v>2081819</v>
      </c>
      <c r="J13" s="228">
        <v>2081819</v>
      </c>
      <c r="K13" s="228">
        <v>2210602</v>
      </c>
      <c r="L13" s="228">
        <v>2300742</v>
      </c>
      <c r="M13" s="228">
        <v>2300742</v>
      </c>
    </row>
    <row r="14" spans="1:13" ht="15" x14ac:dyDescent="0.2">
      <c r="A14" s="181" t="s">
        <v>203</v>
      </c>
      <c r="B14" s="177"/>
      <c r="C14" s="178"/>
      <c r="D14" s="178"/>
      <c r="E14" s="179"/>
      <c r="F14" s="190">
        <f t="shared" ref="F14" si="11">F9+F13</f>
        <v>3025225</v>
      </c>
      <c r="G14" s="190">
        <f t="shared" ref="G14" si="12">G9+G13</f>
        <v>3025225</v>
      </c>
      <c r="H14" s="190">
        <f>H9+H13</f>
        <v>3142873</v>
      </c>
      <c r="I14" s="190">
        <f t="shared" ref="I14:M14" si="13">I9+I13</f>
        <v>3101742</v>
      </c>
      <c r="J14" s="190">
        <f t="shared" si="13"/>
        <v>3101742</v>
      </c>
      <c r="K14" s="190">
        <f t="shared" si="13"/>
        <v>3254525</v>
      </c>
      <c r="L14" s="190">
        <f t="shared" si="13"/>
        <v>3320665</v>
      </c>
      <c r="M14" s="190">
        <f t="shared" si="13"/>
        <v>3320665</v>
      </c>
    </row>
    <row r="15" spans="1:13" ht="15" x14ac:dyDescent="0.2">
      <c r="A15" s="13" t="s">
        <v>11</v>
      </c>
      <c r="B15" s="275"/>
      <c r="C15" s="276"/>
      <c r="D15" s="276"/>
      <c r="E15" s="277"/>
      <c r="F15" s="56">
        <f t="shared" ref="F15:K15" si="14">F19+F100+F102+F116+F210</f>
        <v>3794270</v>
      </c>
      <c r="G15" s="56">
        <f t="shared" si="14"/>
        <v>5708582.0199999996</v>
      </c>
      <c r="H15" s="56">
        <f t="shared" si="14"/>
        <v>6628426</v>
      </c>
      <c r="I15" s="56">
        <f t="shared" si="14"/>
        <v>3665715</v>
      </c>
      <c r="J15" s="56">
        <f t="shared" si="14"/>
        <v>3678286</v>
      </c>
      <c r="K15" s="56">
        <f t="shared" si="14"/>
        <v>3885373</v>
      </c>
      <c r="L15" s="56">
        <f>L19+L100+L102+L116+L210+83500</f>
        <v>3370099</v>
      </c>
      <c r="M15" s="56">
        <f>M19+M100+M102+M116+M210+166500</f>
        <v>4903598.95</v>
      </c>
    </row>
    <row r="16" spans="1:13" ht="14.25" x14ac:dyDescent="0.2">
      <c r="A16" s="151" t="s">
        <v>161</v>
      </c>
      <c r="B16" s="152"/>
      <c r="C16" s="153"/>
      <c r="D16" s="153"/>
      <c r="E16" s="154"/>
      <c r="F16" s="155"/>
      <c r="G16" s="155"/>
      <c r="H16" s="155"/>
      <c r="I16" s="155"/>
      <c r="J16" s="155"/>
      <c r="K16" s="155"/>
      <c r="L16" s="155">
        <f>(L15-L10-L11-L12)*2.5%+483.37</f>
        <v>83499.994999999995</v>
      </c>
      <c r="M16" s="155">
        <f>(M15-M10-M11-M12)*5%+466.75</f>
        <v>166500</v>
      </c>
    </row>
    <row r="17" spans="1:13" ht="14.25" x14ac:dyDescent="0.2">
      <c r="A17" s="151" t="s">
        <v>162</v>
      </c>
      <c r="B17" s="152"/>
      <c r="C17" s="153"/>
      <c r="D17" s="153"/>
      <c r="E17" s="154"/>
      <c r="F17" s="155"/>
      <c r="G17" s="155"/>
      <c r="H17" s="155"/>
      <c r="I17" s="155"/>
      <c r="J17" s="155"/>
      <c r="K17" s="155"/>
      <c r="L17" s="155">
        <f>L15-L16-0.01</f>
        <v>3286598.9950000001</v>
      </c>
      <c r="M17" s="155">
        <f>M15-M16</f>
        <v>4737098.95</v>
      </c>
    </row>
    <row r="18" spans="1:13" ht="15" x14ac:dyDescent="0.2">
      <c r="A18" s="118" t="s">
        <v>76</v>
      </c>
      <c r="B18" s="119"/>
      <c r="C18" s="120"/>
      <c r="D18" s="120"/>
      <c r="E18" s="121"/>
      <c r="F18" s="122">
        <f>F19+F100+F102+F116-F96-F99-F106-F117-F146-F174-F177-F181-F183-F187-F189-F194-F197-F206-F208</f>
        <v>3025225</v>
      </c>
      <c r="G18" s="122">
        <f>G19+G100+G102+G116-G96-G99-G106-G117-G146-G174-G177-G181-G183-G187-G189-G194-G197-G200-G206-G208</f>
        <v>3873917.2199999997</v>
      </c>
      <c r="H18" s="122">
        <f t="shared" ref="H18:M18" si="15">H19+H100+H102+H116-H96-H99-H106-H117-H146-H174-H177-H181-H183-H187-H189-H194-H197-H206-H208</f>
        <v>4212040</v>
      </c>
      <c r="I18" s="122">
        <f t="shared" si="15"/>
        <v>2800281</v>
      </c>
      <c r="J18" s="122">
        <f t="shared" si="15"/>
        <v>2808189</v>
      </c>
      <c r="K18" s="122">
        <f t="shared" si="15"/>
        <v>3254525</v>
      </c>
      <c r="L18" s="122">
        <f t="shared" si="15"/>
        <v>3237165</v>
      </c>
      <c r="M18" s="122">
        <f t="shared" si="15"/>
        <v>3154165</v>
      </c>
    </row>
    <row r="19" spans="1:13" ht="15" x14ac:dyDescent="0.2">
      <c r="A19" s="82" t="s">
        <v>111</v>
      </c>
      <c r="B19" s="265" t="s">
        <v>140</v>
      </c>
      <c r="C19" s="266"/>
      <c r="D19" s="266"/>
      <c r="E19" s="267"/>
      <c r="F19" s="81">
        <f t="shared" ref="F19:M19" si="16">F20+F24+F27+F68+F76+F79+F82+F85+F86+F87+F88+F96+F99</f>
        <v>2235106</v>
      </c>
      <c r="G19" s="81">
        <f t="shared" si="16"/>
        <v>2529545</v>
      </c>
      <c r="H19" s="81">
        <f t="shared" si="16"/>
        <v>2322325</v>
      </c>
      <c r="I19" s="81">
        <f t="shared" si="16"/>
        <v>2255281</v>
      </c>
      <c r="J19" s="81">
        <f t="shared" si="16"/>
        <v>2263189</v>
      </c>
      <c r="K19" s="81">
        <f t="shared" si="16"/>
        <v>2180052</v>
      </c>
      <c r="L19" s="81">
        <f t="shared" si="16"/>
        <v>2255281</v>
      </c>
      <c r="M19" s="81">
        <f t="shared" si="16"/>
        <v>2195949</v>
      </c>
    </row>
    <row r="20" spans="1:13" outlineLevel="4" x14ac:dyDescent="0.2">
      <c r="A20" s="3" t="s">
        <v>70</v>
      </c>
      <c r="B20" s="16" t="s">
        <v>12</v>
      </c>
      <c r="C20" s="17"/>
      <c r="D20" s="16"/>
      <c r="E20" s="16"/>
      <c r="F20" s="57">
        <f t="shared" ref="F20" si="17">SUM(F21:F23)</f>
        <v>0</v>
      </c>
      <c r="G20" s="57">
        <f t="shared" ref="G20" si="18">SUM(G21:G23)</f>
        <v>0</v>
      </c>
      <c r="H20" s="57">
        <f t="shared" ref="H20:M20" si="19">SUM(H21:H23)</f>
        <v>0</v>
      </c>
      <c r="I20" s="57">
        <f t="shared" si="19"/>
        <v>0</v>
      </c>
      <c r="J20" s="57">
        <f t="shared" si="19"/>
        <v>0</v>
      </c>
      <c r="K20" s="57">
        <f t="shared" si="19"/>
        <v>0</v>
      </c>
      <c r="L20" s="57">
        <f t="shared" si="19"/>
        <v>0</v>
      </c>
      <c r="M20" s="57">
        <f t="shared" si="19"/>
        <v>0</v>
      </c>
    </row>
    <row r="21" spans="1:13" outlineLevel="7" x14ac:dyDescent="0.2">
      <c r="A21" s="4" t="s">
        <v>14</v>
      </c>
      <c r="B21" s="18" t="s">
        <v>12</v>
      </c>
      <c r="C21" s="19" t="s">
        <v>87</v>
      </c>
      <c r="D21" s="18" t="s">
        <v>15</v>
      </c>
      <c r="E21" s="18" t="s">
        <v>54</v>
      </c>
      <c r="F21" s="59"/>
      <c r="G21" s="59"/>
      <c r="H21" s="59"/>
      <c r="I21" s="58"/>
      <c r="J21" s="58"/>
      <c r="K21" s="59"/>
      <c r="L21" s="58"/>
      <c r="M21" s="58"/>
    </row>
    <row r="22" spans="1:13" outlineLevel="7" x14ac:dyDescent="0.2">
      <c r="A22" s="4" t="s">
        <v>152</v>
      </c>
      <c r="B22" s="18" t="s">
        <v>12</v>
      </c>
      <c r="C22" s="19" t="s">
        <v>88</v>
      </c>
      <c r="D22" s="18" t="s">
        <v>21</v>
      </c>
      <c r="E22" s="18" t="s">
        <v>54</v>
      </c>
      <c r="F22" s="59"/>
      <c r="G22" s="59"/>
      <c r="H22" s="59"/>
      <c r="I22" s="58"/>
      <c r="J22" s="58"/>
      <c r="K22" s="59"/>
      <c r="L22" s="58"/>
      <c r="M22" s="58"/>
    </row>
    <row r="23" spans="1:13" outlineLevel="7" x14ac:dyDescent="0.2">
      <c r="A23" s="4" t="s">
        <v>16</v>
      </c>
      <c r="B23" s="18" t="s">
        <v>12</v>
      </c>
      <c r="C23" s="19" t="s">
        <v>88</v>
      </c>
      <c r="D23" s="18" t="s">
        <v>22</v>
      </c>
      <c r="E23" s="18" t="s">
        <v>54</v>
      </c>
      <c r="F23" s="59"/>
      <c r="G23" s="59"/>
      <c r="H23" s="59"/>
      <c r="I23" s="58"/>
      <c r="J23" s="58"/>
      <c r="K23" s="59"/>
      <c r="L23" s="58"/>
      <c r="M23" s="58"/>
    </row>
    <row r="24" spans="1:13" outlineLevel="4" x14ac:dyDescent="0.2">
      <c r="A24" s="3" t="s">
        <v>90</v>
      </c>
      <c r="B24" s="16" t="s">
        <v>17</v>
      </c>
      <c r="C24" s="20" t="s">
        <v>89</v>
      </c>
      <c r="D24" s="16" t="s">
        <v>13</v>
      </c>
      <c r="E24" s="18"/>
      <c r="F24" s="57">
        <f t="shared" ref="F24" si="20">SUM(F25:F26)</f>
        <v>550516</v>
      </c>
      <c r="G24" s="57">
        <f t="shared" ref="G24" si="21">SUM(G25:G26)</f>
        <v>579416</v>
      </c>
      <c r="H24" s="57">
        <f t="shared" ref="H24:M24" si="22">SUM(H25:H26)</f>
        <v>603040</v>
      </c>
      <c r="I24" s="57">
        <f t="shared" si="22"/>
        <v>603040</v>
      </c>
      <c r="J24" s="57">
        <f t="shared" si="22"/>
        <v>603040</v>
      </c>
      <c r="K24" s="57">
        <f t="shared" si="22"/>
        <v>603040</v>
      </c>
      <c r="L24" s="57">
        <f t="shared" si="22"/>
        <v>603040</v>
      </c>
      <c r="M24" s="57">
        <f t="shared" si="22"/>
        <v>603040</v>
      </c>
    </row>
    <row r="25" spans="1:13" outlineLevel="7" x14ac:dyDescent="0.2">
      <c r="A25" s="4" t="s">
        <v>227</v>
      </c>
      <c r="B25" s="18" t="s">
        <v>17</v>
      </c>
      <c r="C25" s="77" t="s">
        <v>89</v>
      </c>
      <c r="D25" s="18" t="s">
        <v>18</v>
      </c>
      <c r="E25" s="18" t="s">
        <v>54</v>
      </c>
      <c r="F25" s="58">
        <v>422823</v>
      </c>
      <c r="G25" s="58">
        <v>445020</v>
      </c>
      <c r="H25" s="58">
        <v>463164</v>
      </c>
      <c r="I25" s="58">
        <v>463164</v>
      </c>
      <c r="J25" s="58">
        <v>463164</v>
      </c>
      <c r="K25" s="58">
        <v>463164</v>
      </c>
      <c r="L25" s="58">
        <v>463164</v>
      </c>
      <c r="M25" s="58">
        <v>463164</v>
      </c>
    </row>
    <row r="26" spans="1:13" outlineLevel="7" x14ac:dyDescent="0.2">
      <c r="A26" s="4" t="s">
        <v>74</v>
      </c>
      <c r="B26" s="18" t="s">
        <v>17</v>
      </c>
      <c r="C26" s="77" t="s">
        <v>89</v>
      </c>
      <c r="D26" s="18" t="s">
        <v>55</v>
      </c>
      <c r="E26" s="18" t="s">
        <v>54</v>
      </c>
      <c r="F26" s="60">
        <v>127693</v>
      </c>
      <c r="G26" s="60">
        <v>134396</v>
      </c>
      <c r="H26" s="60">
        <v>139876</v>
      </c>
      <c r="I26" s="60">
        <v>139876</v>
      </c>
      <c r="J26" s="60">
        <v>139876</v>
      </c>
      <c r="K26" s="60">
        <v>139876</v>
      </c>
      <c r="L26" s="60">
        <v>139876</v>
      </c>
      <c r="M26" s="60">
        <v>139876</v>
      </c>
    </row>
    <row r="27" spans="1:13" ht="25.5" outlineLevel="4" x14ac:dyDescent="0.2">
      <c r="A27" s="3" t="s">
        <v>92</v>
      </c>
      <c r="B27" s="16" t="s">
        <v>17</v>
      </c>
      <c r="C27" s="20" t="s">
        <v>91</v>
      </c>
      <c r="D27" s="16" t="s">
        <v>13</v>
      </c>
      <c r="E27" s="16"/>
      <c r="F27" s="57">
        <f t="shared" ref="F27:M27" si="23">F28+F29+F30+F33+F40+F59+F62+F63</f>
        <v>891205</v>
      </c>
      <c r="G27" s="57">
        <f t="shared" si="23"/>
        <v>1109405</v>
      </c>
      <c r="H27" s="57">
        <f t="shared" si="23"/>
        <v>906345</v>
      </c>
      <c r="I27" s="57">
        <f t="shared" si="23"/>
        <v>881395</v>
      </c>
      <c r="J27" s="57">
        <f t="shared" si="23"/>
        <v>881395</v>
      </c>
      <c r="K27" s="57">
        <f t="shared" si="23"/>
        <v>896478</v>
      </c>
      <c r="L27" s="57">
        <f t="shared" si="23"/>
        <v>881395</v>
      </c>
      <c r="M27" s="57">
        <f t="shared" si="23"/>
        <v>844155</v>
      </c>
    </row>
    <row r="28" spans="1:13" outlineLevel="7" x14ac:dyDescent="0.2">
      <c r="A28" s="72" t="s">
        <v>228</v>
      </c>
      <c r="B28" s="73" t="s">
        <v>17</v>
      </c>
      <c r="C28" s="77" t="s">
        <v>91</v>
      </c>
      <c r="D28" s="73" t="s">
        <v>18</v>
      </c>
      <c r="E28" s="73" t="s">
        <v>54</v>
      </c>
      <c r="F28" s="60">
        <v>407487</v>
      </c>
      <c r="G28" s="60">
        <v>430465</v>
      </c>
      <c r="H28" s="60">
        <v>452566</v>
      </c>
      <c r="I28" s="60">
        <v>452566</v>
      </c>
      <c r="J28" s="60">
        <v>452566</v>
      </c>
      <c r="K28" s="60">
        <v>452566</v>
      </c>
      <c r="L28" s="60">
        <v>452566</v>
      </c>
      <c r="M28" s="60">
        <v>452566</v>
      </c>
    </row>
    <row r="29" spans="1:13" outlineLevel="7" x14ac:dyDescent="0.2">
      <c r="A29" s="4" t="s">
        <v>53</v>
      </c>
      <c r="B29" s="18" t="s">
        <v>17</v>
      </c>
      <c r="C29" s="77" t="s">
        <v>91</v>
      </c>
      <c r="D29" s="18" t="s">
        <v>55</v>
      </c>
      <c r="E29" s="18" t="s">
        <v>54</v>
      </c>
      <c r="F29" s="60">
        <v>123061</v>
      </c>
      <c r="G29" s="60">
        <v>130000</v>
      </c>
      <c r="H29" s="60">
        <v>136675</v>
      </c>
      <c r="I29" s="60">
        <v>136675</v>
      </c>
      <c r="J29" s="60">
        <v>136675</v>
      </c>
      <c r="K29" s="60">
        <v>136675</v>
      </c>
      <c r="L29" s="60">
        <v>136675</v>
      </c>
      <c r="M29" s="60">
        <v>136675</v>
      </c>
    </row>
    <row r="30" spans="1:13" outlineLevel="7" x14ac:dyDescent="0.2">
      <c r="A30" s="4"/>
      <c r="B30" s="18" t="s">
        <v>17</v>
      </c>
      <c r="C30" s="77" t="s">
        <v>91</v>
      </c>
      <c r="D30" s="18" t="s">
        <v>20</v>
      </c>
      <c r="E30" s="18" t="s">
        <v>54</v>
      </c>
      <c r="F30" s="60">
        <f t="shared" ref="F30" si="24">SUM(F31:F32)</f>
        <v>0</v>
      </c>
      <c r="G30" s="60">
        <f t="shared" ref="G30" si="25">SUM(G31:G32)</f>
        <v>0</v>
      </c>
      <c r="H30" s="60">
        <f t="shared" ref="H30:M30" si="26">SUM(H31:H32)</f>
        <v>0</v>
      </c>
      <c r="I30" s="60">
        <f t="shared" si="26"/>
        <v>0</v>
      </c>
      <c r="J30" s="60">
        <f t="shared" si="26"/>
        <v>0</v>
      </c>
      <c r="K30" s="60">
        <f t="shared" si="26"/>
        <v>0</v>
      </c>
      <c r="L30" s="60">
        <f t="shared" si="26"/>
        <v>0</v>
      </c>
      <c r="M30" s="60">
        <f t="shared" si="26"/>
        <v>0</v>
      </c>
    </row>
    <row r="31" spans="1:13" outlineLevel="7" x14ac:dyDescent="0.2">
      <c r="A31" s="4" t="s">
        <v>19</v>
      </c>
      <c r="B31" s="18"/>
      <c r="C31" s="21"/>
      <c r="D31" s="18"/>
      <c r="E31" s="18"/>
      <c r="F31" s="60"/>
      <c r="G31" s="60"/>
      <c r="H31" s="60"/>
      <c r="I31" s="60"/>
      <c r="J31" s="60"/>
      <c r="K31" s="60"/>
      <c r="L31" s="60"/>
      <c r="M31" s="60"/>
    </row>
    <row r="32" spans="1:13" outlineLevel="7" x14ac:dyDescent="0.2">
      <c r="A32" s="4" t="s">
        <v>77</v>
      </c>
      <c r="B32" s="18"/>
      <c r="C32" s="21"/>
      <c r="D32" s="18"/>
      <c r="E32" s="18"/>
      <c r="F32" s="60"/>
      <c r="G32" s="60"/>
      <c r="H32" s="60"/>
      <c r="I32" s="60"/>
      <c r="J32" s="60"/>
      <c r="K32" s="60"/>
      <c r="L32" s="60"/>
      <c r="M32" s="60"/>
    </row>
    <row r="33" spans="1:13" ht="25.5" outlineLevel="5" x14ac:dyDescent="0.2">
      <c r="A33" s="4" t="s">
        <v>69</v>
      </c>
      <c r="B33" s="18" t="s">
        <v>17</v>
      </c>
      <c r="C33" s="77" t="s">
        <v>91</v>
      </c>
      <c r="D33" s="18" t="s">
        <v>21</v>
      </c>
      <c r="E33" s="18" t="s">
        <v>54</v>
      </c>
      <c r="F33" s="60">
        <f>SUM(F34:F38)</f>
        <v>61450</v>
      </c>
      <c r="G33" s="60">
        <f>SUM(G34:G39)</f>
        <v>64118.080000000002</v>
      </c>
      <c r="H33" s="60">
        <f t="shared" ref="H33:J33" si="27">SUM(H34:H38)</f>
        <v>72077</v>
      </c>
      <c r="I33" s="60">
        <f t="shared" si="27"/>
        <v>57627</v>
      </c>
      <c r="J33" s="60">
        <f t="shared" si="27"/>
        <v>57627</v>
      </c>
      <c r="K33" s="60">
        <f t="shared" ref="K33:M33" si="28">SUM(K34:K38)</f>
        <v>72077</v>
      </c>
      <c r="L33" s="60">
        <f t="shared" si="28"/>
        <v>57627</v>
      </c>
      <c r="M33" s="60">
        <f t="shared" si="28"/>
        <v>57627</v>
      </c>
    </row>
    <row r="34" spans="1:13" outlineLevel="7" x14ac:dyDescent="0.2">
      <c r="A34" s="8" t="s">
        <v>244</v>
      </c>
      <c r="B34" s="22"/>
      <c r="C34" s="23"/>
      <c r="D34" s="22"/>
      <c r="E34" s="22"/>
      <c r="F34" s="61">
        <v>10000</v>
      </c>
      <c r="G34" s="61">
        <v>8458.24</v>
      </c>
      <c r="H34" s="61">
        <v>9127</v>
      </c>
      <c r="I34" s="61">
        <v>9127</v>
      </c>
      <c r="J34" s="61">
        <v>9127</v>
      </c>
      <c r="K34" s="61">
        <v>9127</v>
      </c>
      <c r="L34" s="61">
        <v>9127</v>
      </c>
      <c r="M34" s="61">
        <v>9127</v>
      </c>
    </row>
    <row r="35" spans="1:13" outlineLevel="7" x14ac:dyDescent="0.2">
      <c r="A35" s="8" t="s">
        <v>222</v>
      </c>
      <c r="B35" s="24"/>
      <c r="C35" s="25"/>
      <c r="D35" s="24"/>
      <c r="E35" s="24"/>
      <c r="F35" s="61">
        <v>27950</v>
      </c>
      <c r="G35" s="61"/>
      <c r="H35" s="61"/>
      <c r="I35" s="61"/>
      <c r="J35" s="61"/>
      <c r="K35" s="61"/>
      <c r="L35" s="61"/>
      <c r="M35" s="61"/>
    </row>
    <row r="36" spans="1:13" outlineLevel="7" x14ac:dyDescent="0.2">
      <c r="A36" s="8" t="s">
        <v>245</v>
      </c>
      <c r="B36" s="24"/>
      <c r="C36" s="25"/>
      <c r="D36" s="24"/>
      <c r="E36" s="24"/>
      <c r="F36" s="61">
        <f>4000+3000</f>
        <v>7000</v>
      </c>
      <c r="G36" s="61">
        <f>4709.84</f>
        <v>4709.84</v>
      </c>
      <c r="H36" s="61">
        <v>12000</v>
      </c>
      <c r="I36" s="61">
        <v>12000</v>
      </c>
      <c r="J36" s="61">
        <v>12000</v>
      </c>
      <c r="K36" s="61">
        <v>12000</v>
      </c>
      <c r="L36" s="61">
        <v>12000</v>
      </c>
      <c r="M36" s="61">
        <v>12000</v>
      </c>
    </row>
    <row r="37" spans="1:13" ht="15.75" customHeight="1" outlineLevel="7" x14ac:dyDescent="0.2">
      <c r="A37" s="7" t="s">
        <v>246</v>
      </c>
      <c r="B37" s="22"/>
      <c r="C37" s="23"/>
      <c r="D37" s="22"/>
      <c r="E37" s="22"/>
      <c r="F37" s="61"/>
      <c r="G37" s="61">
        <v>34450</v>
      </c>
      <c r="H37" s="61">
        <v>34450</v>
      </c>
      <c r="I37" s="61">
        <v>20000</v>
      </c>
      <c r="J37" s="61">
        <v>20000</v>
      </c>
      <c r="K37" s="61">
        <v>34450</v>
      </c>
      <c r="L37" s="61">
        <v>20000</v>
      </c>
      <c r="M37" s="61">
        <v>20000</v>
      </c>
    </row>
    <row r="38" spans="1:13" ht="30" customHeight="1" outlineLevel="7" x14ac:dyDescent="0.2">
      <c r="A38" s="7" t="s">
        <v>255</v>
      </c>
      <c r="B38" s="22"/>
      <c r="C38" s="23"/>
      <c r="D38" s="22"/>
      <c r="E38" s="22"/>
      <c r="F38" s="61">
        <v>16500</v>
      </c>
      <c r="G38" s="61">
        <f>16500</f>
        <v>16500</v>
      </c>
      <c r="H38" s="69">
        <v>16500</v>
      </c>
      <c r="I38" s="69">
        <v>16500</v>
      </c>
      <c r="J38" s="69">
        <v>16500</v>
      </c>
      <c r="K38" s="69">
        <v>16500</v>
      </c>
      <c r="L38" s="69">
        <v>16500</v>
      </c>
      <c r="M38" s="69">
        <v>16500</v>
      </c>
    </row>
    <row r="39" spans="1:13" outlineLevel="7" x14ac:dyDescent="0.2">
      <c r="A39" s="7" t="s">
        <v>206</v>
      </c>
      <c r="B39" s="22"/>
      <c r="C39" s="191"/>
      <c r="D39" s="22"/>
      <c r="E39" s="22"/>
      <c r="F39" s="192"/>
      <c r="G39" s="192"/>
      <c r="H39" s="192"/>
      <c r="I39" s="192"/>
      <c r="J39" s="192"/>
      <c r="K39" s="192"/>
      <c r="L39" s="192"/>
      <c r="M39" s="192"/>
    </row>
    <row r="40" spans="1:13" outlineLevel="5" x14ac:dyDescent="0.2">
      <c r="A40" s="4" t="s">
        <v>78</v>
      </c>
      <c r="B40" s="18" t="s">
        <v>17</v>
      </c>
      <c r="C40" s="77" t="s">
        <v>91</v>
      </c>
      <c r="D40" s="18" t="s">
        <v>22</v>
      </c>
      <c r="E40" s="18" t="s">
        <v>54</v>
      </c>
      <c r="F40" s="63">
        <f t="shared" ref="F40" si="29">SUM(F41:F57)</f>
        <v>240463</v>
      </c>
      <c r="G40" s="63">
        <f>SUM(G41:G58)</f>
        <v>426077.92</v>
      </c>
      <c r="H40" s="63">
        <f t="shared" ref="H40" si="30">SUM(H41:H57)</f>
        <v>191461</v>
      </c>
      <c r="I40" s="63">
        <f>SUM(I41:I57)</f>
        <v>180961</v>
      </c>
      <c r="J40" s="63">
        <f>SUM(J41:J57)</f>
        <v>180961</v>
      </c>
      <c r="K40" s="63">
        <f t="shared" ref="K40" si="31">SUM(K41:K57)</f>
        <v>171122</v>
      </c>
      <c r="L40" s="63">
        <f>SUM(L41:L57)</f>
        <v>180961</v>
      </c>
      <c r="M40" s="63">
        <f>SUM(M41:M57)</f>
        <v>154621</v>
      </c>
    </row>
    <row r="41" spans="1:13" outlineLevel="5" x14ac:dyDescent="0.2">
      <c r="A41" s="7" t="s">
        <v>23</v>
      </c>
      <c r="B41" s="22"/>
      <c r="C41" s="23"/>
      <c r="D41" s="22"/>
      <c r="E41" s="22"/>
      <c r="F41" s="62">
        <v>5000</v>
      </c>
      <c r="G41" s="62"/>
      <c r="H41" s="62">
        <v>5000</v>
      </c>
      <c r="I41" s="62">
        <v>5000</v>
      </c>
      <c r="J41" s="62">
        <v>5000</v>
      </c>
      <c r="K41" s="62">
        <v>5000</v>
      </c>
      <c r="L41" s="62">
        <v>5000</v>
      </c>
      <c r="M41" s="62">
        <v>5000</v>
      </c>
    </row>
    <row r="42" spans="1:13" outlineLevel="7" x14ac:dyDescent="0.2">
      <c r="A42" s="9" t="s">
        <v>199</v>
      </c>
      <c r="B42" s="145"/>
      <c r="C42" s="148"/>
      <c r="D42" s="146"/>
      <c r="E42" s="28"/>
      <c r="F42" s="62">
        <f>10000-950</f>
        <v>9050</v>
      </c>
      <c r="G42" s="62"/>
      <c r="H42" s="216"/>
      <c r="I42" s="216"/>
      <c r="J42" s="216"/>
      <c r="K42" s="216"/>
      <c r="L42" s="216"/>
      <c r="M42" s="216"/>
    </row>
    <row r="43" spans="1:13" outlineLevel="7" x14ac:dyDescent="0.2">
      <c r="A43" s="193" t="s">
        <v>250</v>
      </c>
      <c r="B43" s="145"/>
      <c r="C43" s="148"/>
      <c r="D43" s="146"/>
      <c r="E43" s="28"/>
      <c r="F43" s="62"/>
      <c r="G43" s="62">
        <v>3000</v>
      </c>
      <c r="H43" s="62">
        <v>14920</v>
      </c>
      <c r="I43" s="62">
        <v>14920</v>
      </c>
      <c r="J43" s="62">
        <v>14920</v>
      </c>
      <c r="K43" s="62">
        <v>14920</v>
      </c>
      <c r="L43" s="62">
        <v>14920</v>
      </c>
      <c r="M43" s="62">
        <v>14920</v>
      </c>
    </row>
    <row r="44" spans="1:13" ht="25.5" outlineLevel="7" x14ac:dyDescent="0.2">
      <c r="A44" s="7" t="s">
        <v>231</v>
      </c>
      <c r="B44" s="22"/>
      <c r="C44" s="30"/>
      <c r="D44" s="22"/>
      <c r="E44" s="22"/>
      <c r="F44" s="62">
        <f>6000+15000</f>
        <v>21000</v>
      </c>
      <c r="G44" s="62">
        <f>6000+15000</f>
        <v>21000</v>
      </c>
      <c r="H44" s="62">
        <f t="shared" ref="H44:M44" si="32">6000+15000</f>
        <v>21000</v>
      </c>
      <c r="I44" s="62">
        <f t="shared" si="32"/>
        <v>21000</v>
      </c>
      <c r="J44" s="62">
        <f t="shared" si="32"/>
        <v>21000</v>
      </c>
      <c r="K44" s="62">
        <f t="shared" si="32"/>
        <v>21000</v>
      </c>
      <c r="L44" s="62">
        <f t="shared" si="32"/>
        <v>21000</v>
      </c>
      <c r="M44" s="62">
        <f t="shared" si="32"/>
        <v>21000</v>
      </c>
    </row>
    <row r="45" spans="1:13" outlineLevel="7" x14ac:dyDescent="0.2">
      <c r="A45" s="8" t="s">
        <v>197</v>
      </c>
      <c r="B45" s="22"/>
      <c r="C45" s="176"/>
      <c r="D45" s="22"/>
      <c r="E45" s="22"/>
      <c r="F45" s="62">
        <v>5000</v>
      </c>
      <c r="G45" s="62"/>
      <c r="H45" s="62"/>
      <c r="I45" s="62"/>
      <c r="J45" s="62"/>
      <c r="K45" s="62"/>
      <c r="L45" s="62"/>
      <c r="M45" s="62"/>
    </row>
    <row r="46" spans="1:13" outlineLevel="7" x14ac:dyDescent="0.2">
      <c r="A46" s="10" t="s">
        <v>219</v>
      </c>
      <c r="B46" s="28"/>
      <c r="C46" s="29"/>
      <c r="D46" s="28"/>
      <c r="E46" s="28"/>
      <c r="F46" s="62">
        <v>5000</v>
      </c>
      <c r="G46" s="62"/>
      <c r="H46" s="216"/>
      <c r="I46" s="216"/>
      <c r="J46" s="216"/>
      <c r="K46" s="216"/>
      <c r="L46" s="216"/>
      <c r="M46" s="216"/>
    </row>
    <row r="47" spans="1:13" ht="25.5" outlineLevel="7" x14ac:dyDescent="0.2">
      <c r="A47" s="10" t="s">
        <v>256</v>
      </c>
      <c r="B47" s="28"/>
      <c r="C47" s="29"/>
      <c r="D47" s="28"/>
      <c r="E47" s="28"/>
      <c r="F47" s="62"/>
      <c r="G47" s="62"/>
      <c r="H47" s="62">
        <v>10500</v>
      </c>
      <c r="I47" s="216"/>
      <c r="J47" s="216"/>
      <c r="K47" s="62"/>
      <c r="L47" s="216"/>
      <c r="M47" s="216"/>
    </row>
    <row r="48" spans="1:13" outlineLevel="7" x14ac:dyDescent="0.2">
      <c r="A48" s="9" t="s">
        <v>247</v>
      </c>
      <c r="B48" s="26"/>
      <c r="C48" s="27"/>
      <c r="D48" s="26"/>
      <c r="E48" s="26"/>
      <c r="F48" s="62"/>
      <c r="G48" s="62"/>
      <c r="H48" s="62">
        <v>12000</v>
      </c>
      <c r="I48" s="62">
        <v>12000</v>
      </c>
      <c r="J48" s="62">
        <v>12000</v>
      </c>
      <c r="K48" s="62"/>
      <c r="L48" s="62">
        <v>12000</v>
      </c>
      <c r="M48" s="62">
        <v>12000</v>
      </c>
    </row>
    <row r="49" spans="1:13" outlineLevel="7" x14ac:dyDescent="0.2">
      <c r="A49" s="9" t="s">
        <v>259</v>
      </c>
      <c r="B49" s="26"/>
      <c r="C49" s="27"/>
      <c r="D49" s="26"/>
      <c r="E49" s="26"/>
      <c r="F49" s="61">
        <v>76260</v>
      </c>
      <c r="G49" s="61">
        <v>78771</v>
      </c>
      <c r="H49" s="61">
        <v>78771</v>
      </c>
      <c r="I49" s="61">
        <v>78771</v>
      </c>
      <c r="J49" s="61">
        <v>78771</v>
      </c>
      <c r="K49" s="61">
        <v>85932</v>
      </c>
      <c r="L49" s="61">
        <v>78771</v>
      </c>
      <c r="M49" s="61">
        <f>78771-26340</f>
        <v>52431</v>
      </c>
    </row>
    <row r="50" spans="1:13" outlineLevel="7" x14ac:dyDescent="0.2">
      <c r="A50" s="9" t="s">
        <v>249</v>
      </c>
      <c r="B50" s="26"/>
      <c r="C50" s="27"/>
      <c r="D50" s="26"/>
      <c r="E50" s="26"/>
      <c r="F50" s="62">
        <v>8000</v>
      </c>
      <c r="G50" s="62"/>
      <c r="H50" s="62">
        <v>6000</v>
      </c>
      <c r="I50" s="62">
        <v>6000</v>
      </c>
      <c r="J50" s="62">
        <v>6000</v>
      </c>
      <c r="K50" s="62"/>
      <c r="L50" s="62">
        <v>6000</v>
      </c>
      <c r="M50" s="62">
        <v>6000</v>
      </c>
    </row>
    <row r="51" spans="1:13" ht="25.5" outlineLevel="7" x14ac:dyDescent="0.2">
      <c r="A51" s="193" t="s">
        <v>248</v>
      </c>
      <c r="B51" s="26"/>
      <c r="C51" s="27"/>
      <c r="D51" s="26"/>
      <c r="E51" s="26"/>
      <c r="F51" s="62">
        <v>13200</v>
      </c>
      <c r="G51" s="62">
        <f>10900</f>
        <v>10900</v>
      </c>
      <c r="H51" s="62">
        <v>14700</v>
      </c>
      <c r="I51" s="62">
        <v>14700</v>
      </c>
      <c r="J51" s="62">
        <v>14700</v>
      </c>
      <c r="K51" s="62">
        <v>14700</v>
      </c>
      <c r="L51" s="62">
        <v>14700</v>
      </c>
      <c r="M51" s="62">
        <v>14700</v>
      </c>
    </row>
    <row r="52" spans="1:13" outlineLevel="7" x14ac:dyDescent="0.2">
      <c r="A52" s="10" t="s">
        <v>221</v>
      </c>
      <c r="B52" s="26"/>
      <c r="C52" s="27"/>
      <c r="D52" s="26"/>
      <c r="E52" s="26"/>
      <c r="F52" s="62"/>
      <c r="G52" s="62"/>
      <c r="H52" s="62"/>
      <c r="I52" s="62"/>
      <c r="J52" s="62"/>
      <c r="K52" s="62"/>
      <c r="L52" s="62"/>
      <c r="M52" s="62"/>
    </row>
    <row r="53" spans="1:13" outlineLevel="7" x14ac:dyDescent="0.2">
      <c r="A53" s="10" t="s">
        <v>198</v>
      </c>
      <c r="B53" s="26"/>
      <c r="C53" s="27"/>
      <c r="D53" s="26"/>
      <c r="E53" s="26"/>
      <c r="F53" s="62">
        <v>66953</v>
      </c>
      <c r="G53" s="62"/>
      <c r="H53" s="216"/>
      <c r="I53" s="216"/>
      <c r="J53" s="216"/>
      <c r="K53" s="216"/>
      <c r="L53" s="216"/>
      <c r="M53" s="216"/>
    </row>
    <row r="54" spans="1:13" outlineLevel="7" x14ac:dyDescent="0.2">
      <c r="A54" s="193" t="s">
        <v>232</v>
      </c>
      <c r="B54" s="26"/>
      <c r="C54" s="27"/>
      <c r="D54" s="26"/>
      <c r="E54" s="26"/>
      <c r="F54" s="62"/>
      <c r="G54" s="62">
        <v>31900</v>
      </c>
      <c r="H54" s="216"/>
      <c r="I54" s="216"/>
      <c r="J54" s="216"/>
      <c r="K54" s="216"/>
      <c r="L54" s="216"/>
      <c r="M54" s="216"/>
    </row>
    <row r="55" spans="1:13" ht="25.5" outlineLevel="7" x14ac:dyDescent="0.2">
      <c r="A55" s="217" t="s">
        <v>233</v>
      </c>
      <c r="B55" s="26"/>
      <c r="C55" s="27"/>
      <c r="D55" s="26"/>
      <c r="E55" s="26"/>
      <c r="F55" s="62">
        <v>15000</v>
      </c>
      <c r="G55" s="62">
        <f>15609.09</f>
        <v>15609.09</v>
      </c>
      <c r="H55" s="62">
        <v>8570</v>
      </c>
      <c r="I55" s="62">
        <v>8570</v>
      </c>
      <c r="J55" s="62">
        <v>8570</v>
      </c>
      <c r="K55" s="62">
        <v>14570</v>
      </c>
      <c r="L55" s="62">
        <v>8570</v>
      </c>
      <c r="M55" s="62">
        <v>8570</v>
      </c>
    </row>
    <row r="56" spans="1:13" outlineLevel="7" x14ac:dyDescent="0.2">
      <c r="A56" s="7" t="s">
        <v>24</v>
      </c>
      <c r="B56" s="22"/>
      <c r="C56" s="23"/>
      <c r="D56" s="22"/>
      <c r="E56" s="22"/>
      <c r="F56" s="62">
        <v>10000</v>
      </c>
      <c r="G56" s="62"/>
      <c r="H56" s="62">
        <v>10000</v>
      </c>
      <c r="I56" s="62">
        <v>10000</v>
      </c>
      <c r="J56" s="62">
        <v>10000</v>
      </c>
      <c r="K56" s="62">
        <v>10000</v>
      </c>
      <c r="L56" s="62">
        <v>10000</v>
      </c>
      <c r="M56" s="62">
        <v>10000</v>
      </c>
    </row>
    <row r="57" spans="1:13" outlineLevel="7" x14ac:dyDescent="0.2">
      <c r="A57" s="7" t="s">
        <v>25</v>
      </c>
      <c r="B57" s="22"/>
      <c r="C57" s="23"/>
      <c r="D57" s="22"/>
      <c r="E57" s="22"/>
      <c r="F57" s="62">
        <v>6000</v>
      </c>
      <c r="G57" s="62">
        <f>5000</f>
        <v>5000</v>
      </c>
      <c r="H57" s="62">
        <v>10000</v>
      </c>
      <c r="I57" s="62">
        <v>10000</v>
      </c>
      <c r="J57" s="62">
        <v>10000</v>
      </c>
      <c r="K57" s="62">
        <v>5000</v>
      </c>
      <c r="L57" s="62">
        <v>10000</v>
      </c>
      <c r="M57" s="62">
        <v>10000</v>
      </c>
    </row>
    <row r="58" spans="1:13" outlineLevel="7" x14ac:dyDescent="0.2">
      <c r="A58" s="7" t="s">
        <v>206</v>
      </c>
      <c r="B58" s="22"/>
      <c r="C58" s="191"/>
      <c r="D58" s="22"/>
      <c r="E58" s="22"/>
      <c r="F58" s="62"/>
      <c r="G58" s="62">
        <f>426077.92-SUM(G41:G57)</f>
        <v>259897.83</v>
      </c>
      <c r="H58" s="62"/>
      <c r="I58" s="62"/>
      <c r="J58" s="62"/>
      <c r="K58" s="62"/>
      <c r="L58" s="62"/>
      <c r="M58" s="62"/>
    </row>
    <row r="59" spans="1:13" outlineLevel="7" x14ac:dyDescent="0.2">
      <c r="A59" s="10"/>
      <c r="B59" s="18" t="s">
        <v>17</v>
      </c>
      <c r="C59" s="77" t="s">
        <v>91</v>
      </c>
      <c r="D59" s="18" t="s">
        <v>174</v>
      </c>
      <c r="E59" s="18" t="s">
        <v>54</v>
      </c>
      <c r="F59" s="150">
        <f t="shared" ref="F59" si="33">SUM(F60:F61)</f>
        <v>44000</v>
      </c>
      <c r="G59" s="150">
        <f t="shared" ref="G59:J59" si="34">SUM(G60:G61)</f>
        <v>44000</v>
      </c>
      <c r="H59" s="150">
        <f t="shared" si="34"/>
        <v>40898</v>
      </c>
      <c r="I59" s="150">
        <f t="shared" si="34"/>
        <v>40898</v>
      </c>
      <c r="J59" s="150">
        <f t="shared" si="34"/>
        <v>40898</v>
      </c>
      <c r="K59" s="150">
        <f t="shared" ref="K59:M59" si="35">SUM(K60:K61)</f>
        <v>51370</v>
      </c>
      <c r="L59" s="150">
        <f t="shared" si="35"/>
        <v>40898</v>
      </c>
      <c r="M59" s="150">
        <f t="shared" si="35"/>
        <v>40898</v>
      </c>
    </row>
    <row r="60" spans="1:13" outlineLevel="7" x14ac:dyDescent="0.2">
      <c r="A60" s="7" t="s">
        <v>175</v>
      </c>
      <c r="B60" s="22"/>
      <c r="C60" s="23"/>
      <c r="D60" s="22"/>
      <c r="E60" s="22"/>
      <c r="F60" s="62">
        <v>14000</v>
      </c>
      <c r="G60" s="62">
        <v>12500</v>
      </c>
      <c r="H60" s="62">
        <v>17370</v>
      </c>
      <c r="I60" s="62">
        <v>17370</v>
      </c>
      <c r="J60" s="62">
        <v>17370</v>
      </c>
      <c r="K60" s="62">
        <v>17370</v>
      </c>
      <c r="L60" s="62">
        <v>17370</v>
      </c>
      <c r="M60" s="62">
        <v>17370</v>
      </c>
    </row>
    <row r="61" spans="1:13" outlineLevel="7" x14ac:dyDescent="0.2">
      <c r="A61" s="7" t="s">
        <v>157</v>
      </c>
      <c r="B61" s="28"/>
      <c r="C61" s="147"/>
      <c r="D61" s="28"/>
      <c r="E61" s="28"/>
      <c r="F61" s="62">
        <v>30000</v>
      </c>
      <c r="G61" s="62">
        <v>31500</v>
      </c>
      <c r="H61" s="62">
        <v>23528</v>
      </c>
      <c r="I61" s="62">
        <v>23528</v>
      </c>
      <c r="J61" s="62">
        <v>23528</v>
      </c>
      <c r="K61" s="62">
        <v>34000</v>
      </c>
      <c r="L61" s="62">
        <v>23528</v>
      </c>
      <c r="M61" s="62">
        <v>23528</v>
      </c>
    </row>
    <row r="62" spans="1:13" outlineLevel="7" x14ac:dyDescent="0.2">
      <c r="A62" s="4" t="s">
        <v>81</v>
      </c>
      <c r="B62" s="18" t="s">
        <v>17</v>
      </c>
      <c r="C62" s="77" t="s">
        <v>91</v>
      </c>
      <c r="D62" s="18" t="s">
        <v>26</v>
      </c>
      <c r="E62" s="18" t="s">
        <v>54</v>
      </c>
      <c r="F62" s="60">
        <v>2000</v>
      </c>
      <c r="G62" s="60">
        <v>2000</v>
      </c>
      <c r="H62" s="60"/>
      <c r="I62" s="60"/>
      <c r="J62" s="60"/>
      <c r="K62" s="60"/>
      <c r="L62" s="60"/>
      <c r="M62" s="60"/>
    </row>
    <row r="63" spans="1:13" outlineLevel="7" x14ac:dyDescent="0.2">
      <c r="A63" s="43"/>
      <c r="B63" s="44" t="s">
        <v>17</v>
      </c>
      <c r="C63" s="77" t="s">
        <v>91</v>
      </c>
      <c r="D63" s="44" t="s">
        <v>28</v>
      </c>
      <c r="E63" s="44" t="s">
        <v>54</v>
      </c>
      <c r="F63" s="64">
        <f t="shared" ref="F63" si="36">SUM(F64:F67)</f>
        <v>12744</v>
      </c>
      <c r="G63" s="64">
        <f>SUM(G64:G67)</f>
        <v>12744</v>
      </c>
      <c r="H63" s="64">
        <f t="shared" ref="H63:J63" si="37">SUM(H64:H67)</f>
        <v>12668</v>
      </c>
      <c r="I63" s="64">
        <f t="shared" si="37"/>
        <v>12668</v>
      </c>
      <c r="J63" s="64">
        <f t="shared" si="37"/>
        <v>12668</v>
      </c>
      <c r="K63" s="64">
        <f t="shared" ref="K63:M63" si="38">SUM(K64:K67)</f>
        <v>12668</v>
      </c>
      <c r="L63" s="64">
        <f t="shared" si="38"/>
        <v>12668</v>
      </c>
      <c r="M63" s="64">
        <f t="shared" si="38"/>
        <v>1768</v>
      </c>
    </row>
    <row r="64" spans="1:13" outlineLevel="7" x14ac:dyDescent="0.2">
      <c r="A64" s="48" t="s">
        <v>27</v>
      </c>
      <c r="B64" s="49"/>
      <c r="C64" s="30"/>
      <c r="D64" s="49"/>
      <c r="E64" s="49"/>
      <c r="F64" s="65">
        <v>2000</v>
      </c>
      <c r="G64" s="65">
        <v>1768</v>
      </c>
      <c r="H64" s="65">
        <v>1768</v>
      </c>
      <c r="I64" s="65">
        <v>1768</v>
      </c>
      <c r="J64" s="65">
        <v>1768</v>
      </c>
      <c r="K64" s="65">
        <v>1768</v>
      </c>
      <c r="L64" s="65">
        <v>1768</v>
      </c>
      <c r="M64" s="65">
        <v>1768</v>
      </c>
    </row>
    <row r="65" spans="1:13" outlineLevel="7" x14ac:dyDescent="0.2">
      <c r="A65" s="205" t="s">
        <v>251</v>
      </c>
      <c r="B65" s="49"/>
      <c r="C65" s="194"/>
      <c r="D65" s="49"/>
      <c r="E65" s="49"/>
      <c r="F65" s="206">
        <v>10744</v>
      </c>
      <c r="G65" s="206"/>
      <c r="H65" s="206">
        <v>10900</v>
      </c>
      <c r="I65" s="213">
        <v>10900</v>
      </c>
      <c r="J65" s="213">
        <v>10900</v>
      </c>
      <c r="K65" s="206">
        <v>10900</v>
      </c>
      <c r="L65" s="213">
        <v>10900</v>
      </c>
      <c r="M65" s="213">
        <v>0</v>
      </c>
    </row>
    <row r="66" spans="1:13" outlineLevel="7" x14ac:dyDescent="0.2">
      <c r="A66" s="205" t="s">
        <v>234</v>
      </c>
      <c r="B66" s="49"/>
      <c r="C66" s="194"/>
      <c r="D66" s="49"/>
      <c r="E66" s="49"/>
      <c r="F66" s="206"/>
      <c r="G66" s="206">
        <v>250</v>
      </c>
      <c r="H66" s="206"/>
      <c r="I66" s="213"/>
      <c r="J66" s="213"/>
      <c r="K66" s="206"/>
      <c r="L66" s="213"/>
      <c r="M66" s="213"/>
    </row>
    <row r="67" spans="1:13" outlineLevel="7" x14ac:dyDescent="0.2">
      <c r="A67" s="205" t="s">
        <v>206</v>
      </c>
      <c r="B67" s="49"/>
      <c r="C67" s="194"/>
      <c r="D67" s="49"/>
      <c r="E67" s="49"/>
      <c r="F67" s="65"/>
      <c r="G67" s="206">
        <f>12744-SUM(G64:G66)</f>
        <v>10726</v>
      </c>
      <c r="H67" s="65"/>
      <c r="I67" s="65"/>
      <c r="J67" s="65"/>
      <c r="K67" s="65"/>
      <c r="L67" s="65"/>
      <c r="M67" s="65"/>
    </row>
    <row r="68" spans="1:13" ht="25.5" outlineLevel="7" x14ac:dyDescent="0.2">
      <c r="A68" s="200" t="s">
        <v>42</v>
      </c>
      <c r="B68" s="201"/>
      <c r="C68" s="202"/>
      <c r="D68" s="203"/>
      <c r="E68" s="203"/>
      <c r="F68" s="204">
        <f t="shared" ref="F68" si="39">SUM(F69:F75)</f>
        <v>597440</v>
      </c>
      <c r="G68" s="204">
        <f t="shared" ref="G68" si="40">SUM(G69:G75)</f>
        <v>609779</v>
      </c>
      <c r="H68" s="204">
        <f t="shared" ref="H68:J68" si="41">SUM(H69:H75)</f>
        <v>722940</v>
      </c>
      <c r="I68" s="204">
        <f t="shared" si="41"/>
        <v>695846</v>
      </c>
      <c r="J68" s="204">
        <f t="shared" si="41"/>
        <v>703754</v>
      </c>
      <c r="K68" s="204">
        <f t="shared" ref="K68:M68" si="42">SUM(K69:K75)</f>
        <v>608534</v>
      </c>
      <c r="L68" s="204">
        <f t="shared" si="42"/>
        <v>695846</v>
      </c>
      <c r="M68" s="204">
        <f t="shared" si="42"/>
        <v>703754</v>
      </c>
    </row>
    <row r="69" spans="1:13" ht="38.25" outlineLevel="7" x14ac:dyDescent="0.2">
      <c r="A69" s="7" t="s">
        <v>112</v>
      </c>
      <c r="B69" s="22" t="s">
        <v>44</v>
      </c>
      <c r="C69" s="30" t="s">
        <v>98</v>
      </c>
      <c r="D69" s="22" t="s">
        <v>43</v>
      </c>
      <c r="E69" s="22" t="s">
        <v>54</v>
      </c>
      <c r="F69" s="61">
        <v>63000</v>
      </c>
      <c r="G69" s="61">
        <v>65556</v>
      </c>
      <c r="H69" s="61">
        <v>64634</v>
      </c>
      <c r="I69" s="61">
        <v>64278</v>
      </c>
      <c r="J69" s="61">
        <v>64377</v>
      </c>
      <c r="K69" s="61">
        <v>64634</v>
      </c>
      <c r="L69" s="61">
        <v>64278</v>
      </c>
      <c r="M69" s="61">
        <v>64377</v>
      </c>
    </row>
    <row r="70" spans="1:13" ht="38.25" outlineLevel="7" x14ac:dyDescent="0.2">
      <c r="A70" s="7" t="s">
        <v>113</v>
      </c>
      <c r="B70" s="22" t="s">
        <v>32</v>
      </c>
      <c r="C70" s="30" t="s">
        <v>98</v>
      </c>
      <c r="D70" s="22" t="s">
        <v>43</v>
      </c>
      <c r="E70" s="22" t="s">
        <v>54</v>
      </c>
      <c r="F70" s="61">
        <v>200000</v>
      </c>
      <c r="G70" s="61">
        <v>207726</v>
      </c>
      <c r="H70" s="61">
        <v>276601</v>
      </c>
      <c r="I70" s="61">
        <v>258413</v>
      </c>
      <c r="J70" s="61">
        <v>258413</v>
      </c>
      <c r="K70" s="61">
        <v>208000</v>
      </c>
      <c r="L70" s="61">
        <v>258413</v>
      </c>
      <c r="M70" s="61">
        <v>258413</v>
      </c>
    </row>
    <row r="71" spans="1:13" ht="25.5" outlineLevel="7" x14ac:dyDescent="0.2">
      <c r="A71" s="7" t="s">
        <v>71</v>
      </c>
      <c r="B71" s="22" t="s">
        <v>32</v>
      </c>
      <c r="C71" s="30" t="s">
        <v>99</v>
      </c>
      <c r="D71" s="22" t="s">
        <v>43</v>
      </c>
      <c r="E71" s="22" t="s">
        <v>54</v>
      </c>
      <c r="F71" s="61">
        <v>28000</v>
      </c>
      <c r="G71" s="61">
        <v>29297</v>
      </c>
      <c r="H71" s="61">
        <v>36723</v>
      </c>
      <c r="I71" s="61">
        <v>36723</v>
      </c>
      <c r="J71" s="61">
        <v>36723</v>
      </c>
      <c r="K71" s="61">
        <v>29000</v>
      </c>
      <c r="L71" s="61">
        <v>36723</v>
      </c>
      <c r="M71" s="61">
        <v>36723</v>
      </c>
    </row>
    <row r="72" spans="1:13" ht="30.75" customHeight="1" outlineLevel="7" x14ac:dyDescent="0.2">
      <c r="A72" s="7" t="s">
        <v>114</v>
      </c>
      <c r="B72" s="22" t="s">
        <v>32</v>
      </c>
      <c r="C72" s="30" t="s">
        <v>100</v>
      </c>
      <c r="D72" s="22" t="s">
        <v>43</v>
      </c>
      <c r="E72" s="22" t="s">
        <v>54</v>
      </c>
      <c r="F72" s="61">
        <v>5000</v>
      </c>
      <c r="G72" s="61">
        <v>5199</v>
      </c>
      <c r="H72" s="61">
        <v>4200</v>
      </c>
      <c r="I72" s="61">
        <v>4200</v>
      </c>
      <c r="J72" s="61">
        <v>4200</v>
      </c>
      <c r="K72" s="61">
        <v>4200</v>
      </c>
      <c r="L72" s="61">
        <v>4200</v>
      </c>
      <c r="M72" s="61">
        <v>4200</v>
      </c>
    </row>
    <row r="73" spans="1:13" outlineLevel="7" x14ac:dyDescent="0.2">
      <c r="A73" s="84" t="s">
        <v>80</v>
      </c>
      <c r="B73" s="22" t="s">
        <v>44</v>
      </c>
      <c r="C73" s="30" t="s">
        <v>97</v>
      </c>
      <c r="D73" s="22" t="s">
        <v>43</v>
      </c>
      <c r="E73" s="22" t="s">
        <v>54</v>
      </c>
      <c r="F73" s="83">
        <v>4000</v>
      </c>
      <c r="G73" s="83">
        <v>4561</v>
      </c>
      <c r="H73" s="83">
        <v>13875</v>
      </c>
      <c r="I73" s="83">
        <v>13513</v>
      </c>
      <c r="J73" s="83">
        <v>13513</v>
      </c>
      <c r="K73" s="83">
        <v>4500</v>
      </c>
      <c r="L73" s="83">
        <v>13513</v>
      </c>
      <c r="M73" s="83">
        <v>13513</v>
      </c>
    </row>
    <row r="74" spans="1:13" ht="25.5" outlineLevel="7" x14ac:dyDescent="0.2">
      <c r="A74" s="7" t="s">
        <v>72</v>
      </c>
      <c r="B74" s="22" t="s">
        <v>41</v>
      </c>
      <c r="C74" s="30" t="s">
        <v>101</v>
      </c>
      <c r="D74" s="22" t="s">
        <v>43</v>
      </c>
      <c r="E74" s="22" t="s">
        <v>54</v>
      </c>
      <c r="F74" s="83">
        <v>239250</v>
      </c>
      <c r="G74" s="83">
        <v>239250</v>
      </c>
      <c r="H74" s="83">
        <v>268707</v>
      </c>
      <c r="I74" s="83">
        <v>260519</v>
      </c>
      <c r="J74" s="83">
        <v>268328</v>
      </c>
      <c r="K74" s="83">
        <v>250000</v>
      </c>
      <c r="L74" s="83">
        <v>260519</v>
      </c>
      <c r="M74" s="83">
        <v>268328</v>
      </c>
    </row>
    <row r="75" spans="1:13" ht="38.25" outlineLevel="7" x14ac:dyDescent="0.2">
      <c r="A75" s="85" t="s">
        <v>73</v>
      </c>
      <c r="B75" s="86" t="s">
        <v>45</v>
      </c>
      <c r="C75" s="87" t="s">
        <v>102</v>
      </c>
      <c r="D75" s="86" t="s">
        <v>43</v>
      </c>
      <c r="E75" s="86" t="s">
        <v>54</v>
      </c>
      <c r="F75" s="83">
        <v>58190</v>
      </c>
      <c r="G75" s="83">
        <v>58190</v>
      </c>
      <c r="H75" s="83">
        <v>58200</v>
      </c>
      <c r="I75" s="83">
        <v>58200</v>
      </c>
      <c r="J75" s="83">
        <v>58200</v>
      </c>
      <c r="K75" s="83">
        <v>48200</v>
      </c>
      <c r="L75" s="83">
        <v>58200</v>
      </c>
      <c r="M75" s="83">
        <v>58200</v>
      </c>
    </row>
    <row r="76" spans="1:13" outlineLevel="4" x14ac:dyDescent="0.2">
      <c r="A76" s="137" t="s">
        <v>155</v>
      </c>
      <c r="B76" s="108" t="s">
        <v>30</v>
      </c>
      <c r="C76" s="138" t="s">
        <v>96</v>
      </c>
      <c r="D76" s="108" t="s">
        <v>31</v>
      </c>
      <c r="E76" s="108" t="s">
        <v>54</v>
      </c>
      <c r="F76" s="139">
        <f t="shared" ref="F76" si="43">SUM(F77:F78)</f>
        <v>17000</v>
      </c>
      <c r="G76" s="139">
        <f t="shared" ref="G76" si="44">SUM(G77:G78)</f>
        <v>37000</v>
      </c>
      <c r="H76" s="139">
        <f t="shared" ref="H76:J76" si="45">SUM(H77:H78)</f>
        <v>20000</v>
      </c>
      <c r="I76" s="139">
        <f t="shared" si="45"/>
        <v>20000</v>
      </c>
      <c r="J76" s="139">
        <f t="shared" si="45"/>
        <v>20000</v>
      </c>
      <c r="K76" s="139">
        <f t="shared" ref="K76:M76" si="46">SUM(K77:K78)</f>
        <v>20000</v>
      </c>
      <c r="L76" s="139">
        <f t="shared" si="46"/>
        <v>20000</v>
      </c>
      <c r="M76" s="139">
        <f t="shared" si="46"/>
        <v>20000</v>
      </c>
    </row>
    <row r="77" spans="1:13" ht="25.5" outlineLevel="4" x14ac:dyDescent="0.2">
      <c r="A77" s="48" t="s">
        <v>153</v>
      </c>
      <c r="B77" s="88"/>
      <c r="C77" s="106"/>
      <c r="D77" s="88"/>
      <c r="E77" s="88"/>
      <c r="F77" s="144">
        <v>7000</v>
      </c>
      <c r="G77" s="144">
        <v>17000</v>
      </c>
      <c r="H77" s="144"/>
      <c r="I77" s="144"/>
      <c r="J77" s="144"/>
      <c r="K77" s="144"/>
      <c r="L77" s="144"/>
      <c r="M77" s="144"/>
    </row>
    <row r="78" spans="1:13" outlineLevel="4" x14ac:dyDescent="0.2">
      <c r="A78" s="48" t="s">
        <v>154</v>
      </c>
      <c r="B78" s="88"/>
      <c r="C78" s="106"/>
      <c r="D78" s="88"/>
      <c r="E78" s="88"/>
      <c r="F78" s="144">
        <v>10000</v>
      </c>
      <c r="G78" s="144">
        <v>20000</v>
      </c>
      <c r="H78" s="144">
        <v>20000</v>
      </c>
      <c r="I78" s="144">
        <v>20000</v>
      </c>
      <c r="J78" s="144">
        <v>20000</v>
      </c>
      <c r="K78" s="144">
        <v>20000</v>
      </c>
      <c r="L78" s="144">
        <v>20000</v>
      </c>
      <c r="M78" s="144">
        <v>20000</v>
      </c>
    </row>
    <row r="79" spans="1:13" ht="25.5" outlineLevel="4" x14ac:dyDescent="0.2">
      <c r="A79" s="140" t="s">
        <v>65</v>
      </c>
      <c r="B79" s="141"/>
      <c r="C79" s="142" t="s">
        <v>95</v>
      </c>
      <c r="D79" s="141" t="s">
        <v>22</v>
      </c>
      <c r="E79" s="141" t="s">
        <v>54</v>
      </c>
      <c r="F79" s="143">
        <f t="shared" ref="F79" si="47">SUM(F80:F81)</f>
        <v>0</v>
      </c>
      <c r="G79" s="143">
        <f t="shared" ref="G79:J79" si="48">SUM(G80:G81)</f>
        <v>0</v>
      </c>
      <c r="H79" s="143">
        <f t="shared" si="48"/>
        <v>0</v>
      </c>
      <c r="I79" s="143">
        <f t="shared" si="48"/>
        <v>0</v>
      </c>
      <c r="J79" s="143">
        <f t="shared" si="48"/>
        <v>0</v>
      </c>
      <c r="K79" s="143">
        <f t="shared" ref="K79:M79" si="49">SUM(K80:K81)</f>
        <v>0</v>
      </c>
      <c r="L79" s="143">
        <f t="shared" si="49"/>
        <v>0</v>
      </c>
      <c r="M79" s="143">
        <f t="shared" si="49"/>
        <v>0</v>
      </c>
    </row>
    <row r="80" spans="1:13" ht="42.75" customHeight="1" outlineLevel="4" x14ac:dyDescent="0.2">
      <c r="A80" s="7" t="s">
        <v>107</v>
      </c>
      <c r="B80" s="22" t="s">
        <v>34</v>
      </c>
      <c r="C80" s="30" t="s">
        <v>95</v>
      </c>
      <c r="D80" s="22" t="s">
        <v>22</v>
      </c>
      <c r="E80" s="22" t="s">
        <v>54</v>
      </c>
      <c r="F80" s="62"/>
      <c r="G80" s="62"/>
      <c r="H80" s="216"/>
      <c r="I80" s="216"/>
      <c r="J80" s="216"/>
      <c r="K80" s="216"/>
      <c r="L80" s="216"/>
      <c r="M80" s="216"/>
    </row>
    <row r="81" spans="1:13" outlineLevel="4" x14ac:dyDescent="0.2">
      <c r="A81" s="7" t="s">
        <v>156</v>
      </c>
      <c r="B81" s="22" t="s">
        <v>32</v>
      </c>
      <c r="C81" s="30" t="s">
        <v>95</v>
      </c>
      <c r="D81" s="22" t="s">
        <v>22</v>
      </c>
      <c r="E81" s="22" t="s">
        <v>54</v>
      </c>
      <c r="F81" s="62"/>
      <c r="G81" s="62"/>
      <c r="H81" s="62"/>
      <c r="I81" s="62"/>
      <c r="J81" s="62"/>
      <c r="K81" s="62"/>
      <c r="L81" s="62"/>
      <c r="M81" s="62"/>
    </row>
    <row r="82" spans="1:13" outlineLevel="4" x14ac:dyDescent="0.2">
      <c r="A82" s="6" t="s">
        <v>68</v>
      </c>
      <c r="B82" s="16" t="s">
        <v>32</v>
      </c>
      <c r="C82" s="20" t="s">
        <v>103</v>
      </c>
      <c r="D82" s="16" t="s">
        <v>22</v>
      </c>
      <c r="E82" s="16" t="s">
        <v>54</v>
      </c>
      <c r="F82" s="57">
        <f t="shared" ref="F82" si="50">SUM(F83:F84)</f>
        <v>2000</v>
      </c>
      <c r="G82" s="57">
        <f t="shared" ref="G82" si="51">SUM(G83:G84)</f>
        <v>2000</v>
      </c>
      <c r="H82" s="57">
        <f t="shared" ref="H82:J82" si="52">SUM(H83:H84)</f>
        <v>5000</v>
      </c>
      <c r="I82" s="57">
        <f t="shared" si="52"/>
        <v>5000</v>
      </c>
      <c r="J82" s="57">
        <f t="shared" si="52"/>
        <v>5000</v>
      </c>
      <c r="K82" s="57">
        <f t="shared" ref="K82:M82" si="53">SUM(K83:K84)</f>
        <v>2000</v>
      </c>
      <c r="L82" s="57">
        <f t="shared" si="53"/>
        <v>5000</v>
      </c>
      <c r="M82" s="57">
        <f t="shared" si="53"/>
        <v>0</v>
      </c>
    </row>
    <row r="83" spans="1:13" outlineLevel="4" x14ac:dyDescent="0.2">
      <c r="A83" s="8" t="s">
        <v>160</v>
      </c>
      <c r="B83" s="22"/>
      <c r="C83" s="30"/>
      <c r="D83" s="22"/>
      <c r="E83" s="22"/>
      <c r="F83" s="61">
        <v>2000</v>
      </c>
      <c r="G83" s="61">
        <v>2000</v>
      </c>
      <c r="H83" s="61">
        <v>5000</v>
      </c>
      <c r="I83" s="61">
        <v>5000</v>
      </c>
      <c r="J83" s="61">
        <v>5000</v>
      </c>
      <c r="K83" s="61">
        <v>2000</v>
      </c>
      <c r="L83" s="61">
        <v>5000</v>
      </c>
      <c r="M83" s="61">
        <v>0</v>
      </c>
    </row>
    <row r="84" spans="1:13" outlineLevel="4" x14ac:dyDescent="0.2">
      <c r="A84" s="7"/>
      <c r="B84" s="22"/>
      <c r="C84" s="30"/>
      <c r="D84" s="22"/>
      <c r="E84" s="22"/>
      <c r="F84" s="61"/>
      <c r="G84" s="61"/>
      <c r="H84" s="61"/>
      <c r="I84" s="61"/>
      <c r="J84" s="61"/>
      <c r="K84" s="61"/>
      <c r="L84" s="61"/>
      <c r="M84" s="61"/>
    </row>
    <row r="85" spans="1:13" outlineLevel="4" x14ac:dyDescent="0.2">
      <c r="A85" s="6" t="s">
        <v>66</v>
      </c>
      <c r="B85" s="16" t="s">
        <v>32</v>
      </c>
      <c r="C85" s="20" t="s">
        <v>104</v>
      </c>
      <c r="D85" s="16" t="s">
        <v>22</v>
      </c>
      <c r="E85" s="16" t="s">
        <v>54</v>
      </c>
      <c r="F85" s="57">
        <v>25000</v>
      </c>
      <c r="G85" s="57">
        <v>25000</v>
      </c>
      <c r="H85" s="57">
        <v>25000</v>
      </c>
      <c r="I85" s="57">
        <v>25000</v>
      </c>
      <c r="J85" s="57">
        <v>25000</v>
      </c>
      <c r="K85" s="57">
        <v>25000</v>
      </c>
      <c r="L85" s="57">
        <v>25000</v>
      </c>
      <c r="M85" s="57">
        <v>25000</v>
      </c>
    </row>
    <row r="86" spans="1:13" outlineLevel="4" x14ac:dyDescent="0.2">
      <c r="A86" s="45" t="s">
        <v>94</v>
      </c>
      <c r="B86" s="46" t="s">
        <v>29</v>
      </c>
      <c r="C86" s="47" t="s">
        <v>93</v>
      </c>
      <c r="D86" s="46" t="s">
        <v>22</v>
      </c>
      <c r="E86" s="46" t="s">
        <v>54</v>
      </c>
      <c r="F86" s="57"/>
      <c r="G86" s="57"/>
      <c r="H86" s="57"/>
      <c r="I86" s="57"/>
      <c r="J86" s="57"/>
      <c r="K86" s="57"/>
      <c r="L86" s="57"/>
      <c r="M86" s="57"/>
    </row>
    <row r="87" spans="1:13" outlineLevel="4" x14ac:dyDescent="0.2">
      <c r="A87" s="6" t="s">
        <v>180</v>
      </c>
      <c r="B87" s="108" t="s">
        <v>32</v>
      </c>
      <c r="C87" s="50" t="s">
        <v>106</v>
      </c>
      <c r="D87" s="108" t="s">
        <v>31</v>
      </c>
      <c r="E87" s="108" t="s">
        <v>54</v>
      </c>
      <c r="F87" s="166"/>
      <c r="G87" s="166"/>
      <c r="H87" s="57"/>
      <c r="I87" s="57"/>
      <c r="J87" s="57"/>
      <c r="K87" s="57"/>
      <c r="L87" s="57"/>
      <c r="M87" s="57"/>
    </row>
    <row r="88" spans="1:13" outlineLevel="4" x14ac:dyDescent="0.2">
      <c r="A88" s="110" t="s">
        <v>142</v>
      </c>
      <c r="B88" s="111"/>
      <c r="C88" s="109" t="s">
        <v>144</v>
      </c>
      <c r="D88" s="111"/>
      <c r="E88" s="111"/>
      <c r="F88" s="186">
        <f>F89+F91+F95</f>
        <v>25000</v>
      </c>
      <c r="G88" s="186">
        <f t="shared" ref="G88:J88" si="54">G89+G90+G91+G95</f>
        <v>40000</v>
      </c>
      <c r="H88" s="186">
        <f t="shared" si="54"/>
        <v>40000</v>
      </c>
      <c r="I88" s="186">
        <f t="shared" si="54"/>
        <v>25000</v>
      </c>
      <c r="J88" s="186">
        <f t="shared" si="54"/>
        <v>25000</v>
      </c>
      <c r="K88" s="186">
        <f t="shared" ref="K88:M88" si="55">K89+K90+K91+K95</f>
        <v>25000</v>
      </c>
      <c r="L88" s="186">
        <f t="shared" si="55"/>
        <v>25000</v>
      </c>
      <c r="M88" s="186">
        <f t="shared" si="55"/>
        <v>0</v>
      </c>
    </row>
    <row r="89" spans="1:13" outlineLevel="4" x14ac:dyDescent="0.2">
      <c r="A89" s="48" t="s">
        <v>143</v>
      </c>
      <c r="B89" s="88" t="s">
        <v>41</v>
      </c>
      <c r="C89" s="87" t="s">
        <v>144</v>
      </c>
      <c r="D89" s="88" t="s">
        <v>22</v>
      </c>
      <c r="E89" s="88" t="s">
        <v>54</v>
      </c>
      <c r="F89" s="65">
        <v>25000</v>
      </c>
      <c r="G89" s="65">
        <v>24000</v>
      </c>
      <c r="H89" s="65">
        <v>25000</v>
      </c>
      <c r="I89" s="65">
        <v>25000</v>
      </c>
      <c r="J89" s="65">
        <v>25000</v>
      </c>
      <c r="K89" s="65">
        <v>25000</v>
      </c>
      <c r="L89" s="65">
        <v>25000</v>
      </c>
      <c r="M89" s="65">
        <v>0</v>
      </c>
    </row>
    <row r="90" spans="1:13" outlineLevel="4" x14ac:dyDescent="0.2">
      <c r="A90" s="48" t="s">
        <v>206</v>
      </c>
      <c r="B90" s="88"/>
      <c r="C90" s="87"/>
      <c r="D90" s="88"/>
      <c r="E90" s="88"/>
      <c r="F90" s="65"/>
      <c r="G90" s="65">
        <f>25000-24000</f>
        <v>1000</v>
      </c>
      <c r="H90" s="65"/>
      <c r="I90" s="65"/>
      <c r="J90" s="65"/>
      <c r="K90" s="65"/>
      <c r="L90" s="65"/>
      <c r="M90" s="65"/>
    </row>
    <row r="91" spans="1:13" outlineLevel="4" x14ac:dyDescent="0.2">
      <c r="A91" s="48"/>
      <c r="B91" s="187" t="s">
        <v>32</v>
      </c>
      <c r="C91" s="188" t="s">
        <v>144</v>
      </c>
      <c r="D91" s="187" t="s">
        <v>22</v>
      </c>
      <c r="E91" s="187" t="s">
        <v>54</v>
      </c>
      <c r="F91" s="189">
        <f>SUM(F92:F94)</f>
        <v>0</v>
      </c>
      <c r="G91" s="189">
        <f>SUM(G92:G94)</f>
        <v>15000</v>
      </c>
      <c r="H91" s="189">
        <f t="shared" ref="H91:J91" si="56">SUM(H92:H94)</f>
        <v>15000</v>
      </c>
      <c r="I91" s="189">
        <f t="shared" si="56"/>
        <v>0</v>
      </c>
      <c r="J91" s="189">
        <f t="shared" si="56"/>
        <v>0</v>
      </c>
      <c r="K91" s="189">
        <f t="shared" ref="K91:M91" si="57">SUM(K92:K94)</f>
        <v>0</v>
      </c>
      <c r="L91" s="189">
        <f t="shared" si="57"/>
        <v>0</v>
      </c>
      <c r="M91" s="189">
        <f t="shared" si="57"/>
        <v>0</v>
      </c>
    </row>
    <row r="92" spans="1:13" outlineLevel="4" x14ac:dyDescent="0.2">
      <c r="A92" s="193" t="s">
        <v>237</v>
      </c>
      <c r="B92" s="88"/>
      <c r="C92" s="87"/>
      <c r="D92" s="88"/>
      <c r="E92" s="88"/>
      <c r="F92" s="65"/>
      <c r="G92" s="65">
        <v>14900</v>
      </c>
      <c r="H92" s="65"/>
      <c r="I92" s="65"/>
      <c r="J92" s="65"/>
      <c r="K92" s="65"/>
      <c r="L92" s="65"/>
      <c r="M92" s="65"/>
    </row>
    <row r="93" spans="1:13" outlineLevel="4" x14ac:dyDescent="0.2">
      <c r="A93" s="242" t="s">
        <v>253</v>
      </c>
      <c r="B93" s="88"/>
      <c r="C93" s="87"/>
      <c r="D93" s="88"/>
      <c r="E93" s="88"/>
      <c r="F93" s="65"/>
      <c r="G93" s="65"/>
      <c r="H93" s="65">
        <v>15000</v>
      </c>
      <c r="I93" s="65"/>
      <c r="J93" s="65"/>
      <c r="K93" s="65">
        <v>0</v>
      </c>
      <c r="L93" s="65"/>
      <c r="M93" s="65"/>
    </row>
    <row r="94" spans="1:13" outlineLevel="4" x14ac:dyDescent="0.2">
      <c r="A94" s="48" t="s">
        <v>206</v>
      </c>
      <c r="B94" s="88"/>
      <c r="C94" s="87"/>
      <c r="D94" s="88"/>
      <c r="E94" s="88"/>
      <c r="F94" s="65"/>
      <c r="G94" s="65">
        <f>15000-G92</f>
        <v>100</v>
      </c>
      <c r="H94" s="65"/>
      <c r="I94" s="65"/>
      <c r="J94" s="65"/>
      <c r="K94" s="65"/>
      <c r="L94" s="65"/>
      <c r="M94" s="65"/>
    </row>
    <row r="95" spans="1:13" outlineLevel="4" x14ac:dyDescent="0.2">
      <c r="A95" s="170" t="s">
        <v>82</v>
      </c>
      <c r="B95" s="171" t="s">
        <v>32</v>
      </c>
      <c r="C95" s="172" t="s">
        <v>144</v>
      </c>
      <c r="D95" s="173" t="s">
        <v>28</v>
      </c>
      <c r="E95" s="173" t="s">
        <v>54</v>
      </c>
      <c r="F95" s="174"/>
      <c r="G95" s="174"/>
      <c r="H95" s="174"/>
      <c r="I95" s="174"/>
      <c r="J95" s="174"/>
      <c r="K95" s="174"/>
      <c r="L95" s="174"/>
      <c r="M95" s="174"/>
    </row>
    <row r="96" spans="1:13" outlineLevel="4" x14ac:dyDescent="0.2">
      <c r="A96" s="160" t="s">
        <v>177</v>
      </c>
      <c r="B96" s="161" t="s">
        <v>32</v>
      </c>
      <c r="C96" s="109" t="s">
        <v>178</v>
      </c>
      <c r="D96" s="161" t="s">
        <v>18</v>
      </c>
      <c r="E96" s="161"/>
      <c r="F96" s="162">
        <f t="shared" ref="F96" si="58">F97+F98</f>
        <v>126945</v>
      </c>
      <c r="G96" s="162">
        <f t="shared" ref="G96" si="59">G97+G98</f>
        <v>126945</v>
      </c>
      <c r="H96" s="162">
        <f t="shared" ref="H96:J96" si="60">H97+H98</f>
        <v>0</v>
      </c>
      <c r="I96" s="162">
        <f t="shared" si="60"/>
        <v>0</v>
      </c>
      <c r="J96" s="162">
        <f t="shared" si="60"/>
        <v>0</v>
      </c>
      <c r="K96" s="162">
        <f t="shared" ref="K96:M96" si="61">K97+K98</f>
        <v>0</v>
      </c>
      <c r="L96" s="162">
        <f t="shared" si="61"/>
        <v>0</v>
      </c>
      <c r="M96" s="162">
        <f t="shared" si="61"/>
        <v>0</v>
      </c>
    </row>
    <row r="97" spans="1:13" outlineLevel="4" x14ac:dyDescent="0.2">
      <c r="A97" s="48"/>
      <c r="B97" s="88" t="s">
        <v>32</v>
      </c>
      <c r="C97" s="87" t="s">
        <v>178</v>
      </c>
      <c r="D97" s="88" t="s">
        <v>18</v>
      </c>
      <c r="E97" s="88" t="s">
        <v>47</v>
      </c>
      <c r="F97" s="65">
        <v>97500</v>
      </c>
      <c r="G97" s="65">
        <v>97500</v>
      </c>
      <c r="H97" s="65"/>
      <c r="I97" s="65"/>
      <c r="J97" s="65"/>
      <c r="K97" s="65"/>
      <c r="L97" s="65"/>
      <c r="M97" s="65"/>
    </row>
    <row r="98" spans="1:13" outlineLevel="4" x14ac:dyDescent="0.2">
      <c r="A98" s="48"/>
      <c r="B98" s="88" t="s">
        <v>32</v>
      </c>
      <c r="C98" s="87" t="s">
        <v>178</v>
      </c>
      <c r="D98" s="88" t="s">
        <v>55</v>
      </c>
      <c r="E98" s="88" t="s">
        <v>47</v>
      </c>
      <c r="F98" s="65">
        <v>29445</v>
      </c>
      <c r="G98" s="65">
        <v>29445</v>
      </c>
      <c r="H98" s="65"/>
      <c r="I98" s="65"/>
      <c r="J98" s="65"/>
      <c r="K98" s="65"/>
      <c r="L98" s="65"/>
      <c r="M98" s="65"/>
    </row>
    <row r="99" spans="1:13" ht="51" outlineLevel="4" x14ac:dyDescent="0.2">
      <c r="A99" s="160" t="s">
        <v>188</v>
      </c>
      <c r="B99" s="161" t="s">
        <v>32</v>
      </c>
      <c r="C99" s="20" t="s">
        <v>189</v>
      </c>
      <c r="D99" s="161" t="s">
        <v>190</v>
      </c>
      <c r="E99" s="161" t="s">
        <v>47</v>
      </c>
      <c r="F99" s="162"/>
      <c r="G99" s="162"/>
      <c r="H99" s="162"/>
      <c r="I99" s="162"/>
      <c r="J99" s="162"/>
      <c r="K99" s="162"/>
      <c r="L99" s="162"/>
      <c r="M99" s="162"/>
    </row>
    <row r="100" spans="1:13" ht="15" outlineLevel="4" x14ac:dyDescent="0.2">
      <c r="A100" s="124" t="s">
        <v>137</v>
      </c>
      <c r="B100" s="268" t="s">
        <v>138</v>
      </c>
      <c r="C100" s="269"/>
      <c r="D100" s="269"/>
      <c r="E100" s="270"/>
      <c r="F100" s="125">
        <f t="shared" ref="F100:M100" si="62">F101</f>
        <v>1000</v>
      </c>
      <c r="G100" s="125">
        <f t="shared" si="62"/>
        <v>1000</v>
      </c>
      <c r="H100" s="125">
        <f t="shared" si="62"/>
        <v>1000</v>
      </c>
      <c r="I100" s="125">
        <f t="shared" si="62"/>
        <v>1000</v>
      </c>
      <c r="J100" s="125">
        <f t="shared" si="62"/>
        <v>1000</v>
      </c>
      <c r="K100" s="125">
        <f t="shared" si="62"/>
        <v>1000</v>
      </c>
      <c r="L100" s="125">
        <f t="shared" si="62"/>
        <v>1000</v>
      </c>
      <c r="M100" s="125">
        <f t="shared" si="62"/>
        <v>1000</v>
      </c>
    </row>
    <row r="101" spans="1:13" outlineLevel="7" x14ac:dyDescent="0.2">
      <c r="A101" s="6" t="s">
        <v>67</v>
      </c>
      <c r="B101" s="108" t="s">
        <v>32</v>
      </c>
      <c r="C101" s="109" t="s">
        <v>105</v>
      </c>
      <c r="D101" s="108" t="s">
        <v>22</v>
      </c>
      <c r="E101" s="108" t="s">
        <v>54</v>
      </c>
      <c r="F101" s="57">
        <v>1000</v>
      </c>
      <c r="G101" s="57">
        <v>1000</v>
      </c>
      <c r="H101" s="57">
        <v>1000</v>
      </c>
      <c r="I101" s="57">
        <v>1000</v>
      </c>
      <c r="J101" s="57">
        <v>1000</v>
      </c>
      <c r="K101" s="57">
        <v>1000</v>
      </c>
      <c r="L101" s="57">
        <v>1000</v>
      </c>
      <c r="M101" s="57">
        <v>1000</v>
      </c>
    </row>
    <row r="102" spans="1:13" ht="15" outlineLevel="7" x14ac:dyDescent="0.2">
      <c r="A102" s="126" t="s">
        <v>116</v>
      </c>
      <c r="B102" s="271" t="s">
        <v>139</v>
      </c>
      <c r="C102" s="271"/>
      <c r="D102" s="271"/>
      <c r="E102" s="271"/>
      <c r="F102" s="96">
        <f t="shared" ref="F102" si="63">F103+F106</f>
        <v>566000</v>
      </c>
      <c r="G102" s="96">
        <f t="shared" ref="G102" si="64">G103+G106</f>
        <v>566000</v>
      </c>
      <c r="H102" s="96">
        <f t="shared" ref="H102:J102" si="65">H103+H106</f>
        <v>566000</v>
      </c>
      <c r="I102" s="96">
        <f t="shared" si="65"/>
        <v>566000</v>
      </c>
      <c r="J102" s="96">
        <f t="shared" si="65"/>
        <v>566000</v>
      </c>
      <c r="K102" s="96">
        <f t="shared" ref="K102:M102" si="66">K103+K106</f>
        <v>566000</v>
      </c>
      <c r="L102" s="96">
        <f t="shared" si="66"/>
        <v>0</v>
      </c>
      <c r="M102" s="96">
        <f t="shared" si="66"/>
        <v>0</v>
      </c>
    </row>
    <row r="103" spans="1:13" outlineLevel="7" x14ac:dyDescent="0.2">
      <c r="A103" s="92" t="s">
        <v>79</v>
      </c>
      <c r="B103" s="99"/>
      <c r="C103" s="100"/>
      <c r="D103" s="99"/>
      <c r="E103" s="93" t="s">
        <v>54</v>
      </c>
      <c r="F103" s="95">
        <f t="shared" ref="F103" si="67">F104+F105</f>
        <v>0</v>
      </c>
      <c r="G103" s="95">
        <f t="shared" ref="G103" si="68">G104+G105</f>
        <v>0</v>
      </c>
      <c r="H103" s="95">
        <f t="shared" ref="H103:J103" si="69">H104+H105</f>
        <v>0</v>
      </c>
      <c r="I103" s="95">
        <f t="shared" si="69"/>
        <v>0</v>
      </c>
      <c r="J103" s="95">
        <f t="shared" si="69"/>
        <v>0</v>
      </c>
      <c r="K103" s="95">
        <f t="shared" ref="K103:M103" si="70">K104+K105</f>
        <v>0</v>
      </c>
      <c r="L103" s="95">
        <f t="shared" si="70"/>
        <v>0</v>
      </c>
      <c r="M103" s="95">
        <f t="shared" si="70"/>
        <v>0</v>
      </c>
    </row>
    <row r="104" spans="1:13" outlineLevel="7" x14ac:dyDescent="0.2">
      <c r="A104" s="92" t="s">
        <v>123</v>
      </c>
      <c r="B104" s="93"/>
      <c r="C104" s="94"/>
      <c r="D104" s="93"/>
      <c r="E104" s="93"/>
      <c r="F104" s="67"/>
      <c r="G104" s="67"/>
      <c r="H104" s="67"/>
      <c r="I104" s="67"/>
      <c r="J104" s="67"/>
      <c r="K104" s="67"/>
      <c r="L104" s="67"/>
      <c r="M104" s="67"/>
    </row>
    <row r="105" spans="1:13" outlineLevel="7" x14ac:dyDescent="0.2">
      <c r="A105" s="92" t="s">
        <v>124</v>
      </c>
      <c r="B105" s="93"/>
      <c r="C105" s="94"/>
      <c r="D105" s="93"/>
      <c r="E105" s="93"/>
      <c r="F105" s="67"/>
      <c r="G105" s="67"/>
      <c r="H105" s="67"/>
      <c r="I105" s="67"/>
      <c r="J105" s="67"/>
      <c r="K105" s="67"/>
      <c r="L105" s="67"/>
      <c r="M105" s="67"/>
    </row>
    <row r="106" spans="1:13" ht="25.5" outlineLevel="7" x14ac:dyDescent="0.2">
      <c r="A106" s="115" t="s">
        <v>46</v>
      </c>
      <c r="B106" s="116"/>
      <c r="C106" s="117"/>
      <c r="D106" s="116"/>
      <c r="E106" s="116"/>
      <c r="F106" s="57">
        <f t="shared" ref="F106" si="71">F107+F108+F109+F110+F111+F115</f>
        <v>566000</v>
      </c>
      <c r="G106" s="57">
        <f>G107+G108+G109+G110+G111+G115</f>
        <v>566000</v>
      </c>
      <c r="H106" s="57">
        <f t="shared" ref="H106:J106" si="72">H107+H108+H109+H110+H111+H115</f>
        <v>566000</v>
      </c>
      <c r="I106" s="57">
        <f t="shared" si="72"/>
        <v>566000</v>
      </c>
      <c r="J106" s="57">
        <f t="shared" si="72"/>
        <v>566000</v>
      </c>
      <c r="K106" s="57">
        <f t="shared" ref="K106:M106" si="73">K107+K108+K109+K110+K111+K115</f>
        <v>566000</v>
      </c>
      <c r="L106" s="57">
        <f t="shared" si="73"/>
        <v>0</v>
      </c>
      <c r="M106" s="57">
        <f t="shared" si="73"/>
        <v>0</v>
      </c>
    </row>
    <row r="107" spans="1:13" ht="51" outlineLevel="7" x14ac:dyDescent="0.2">
      <c r="A107" s="113" t="s">
        <v>117</v>
      </c>
      <c r="B107" s="114" t="s">
        <v>33</v>
      </c>
      <c r="C107" s="30" t="s">
        <v>56</v>
      </c>
      <c r="D107" s="114" t="s">
        <v>22</v>
      </c>
      <c r="E107" s="114" t="s">
        <v>47</v>
      </c>
      <c r="F107" s="61"/>
      <c r="G107" s="61"/>
      <c r="H107" s="61"/>
      <c r="I107" s="61"/>
      <c r="J107" s="61"/>
      <c r="K107" s="61"/>
      <c r="L107" s="61"/>
      <c r="M107" s="61"/>
    </row>
    <row r="108" spans="1:13" ht="51" outlineLevel="7" x14ac:dyDescent="0.2">
      <c r="A108" s="113" t="s">
        <v>118</v>
      </c>
      <c r="B108" s="114" t="s">
        <v>33</v>
      </c>
      <c r="C108" s="30" t="s">
        <v>57</v>
      </c>
      <c r="D108" s="114" t="s">
        <v>22</v>
      </c>
      <c r="E108" s="114" t="s">
        <v>47</v>
      </c>
      <c r="F108" s="61"/>
      <c r="G108" s="61"/>
      <c r="H108" s="61"/>
      <c r="I108" s="61"/>
      <c r="J108" s="61"/>
      <c r="K108" s="61"/>
      <c r="L108" s="61"/>
      <c r="M108" s="61"/>
    </row>
    <row r="109" spans="1:13" ht="51" outlineLevel="7" x14ac:dyDescent="0.2">
      <c r="A109" s="113" t="s">
        <v>119</v>
      </c>
      <c r="B109" s="114" t="s">
        <v>33</v>
      </c>
      <c r="C109" s="30" t="s">
        <v>58</v>
      </c>
      <c r="D109" s="114" t="s">
        <v>22</v>
      </c>
      <c r="E109" s="114" t="s">
        <v>47</v>
      </c>
      <c r="F109" s="69">
        <v>336000</v>
      </c>
      <c r="G109" s="69">
        <v>406693.3</v>
      </c>
      <c r="H109" s="69">
        <v>336000</v>
      </c>
      <c r="I109" s="69">
        <v>336000</v>
      </c>
      <c r="J109" s="69">
        <v>336000</v>
      </c>
      <c r="K109" s="69">
        <v>336000</v>
      </c>
      <c r="L109" s="69"/>
      <c r="M109" s="69"/>
    </row>
    <row r="110" spans="1:13" ht="51" outlineLevel="7" x14ac:dyDescent="0.2">
      <c r="A110" s="113" t="s">
        <v>120</v>
      </c>
      <c r="B110" s="114" t="s">
        <v>33</v>
      </c>
      <c r="C110" s="30" t="s">
        <v>59</v>
      </c>
      <c r="D110" s="114" t="s">
        <v>22</v>
      </c>
      <c r="E110" s="114" t="s">
        <v>47</v>
      </c>
      <c r="F110" s="69">
        <v>230000</v>
      </c>
      <c r="G110" s="69">
        <v>159306.70000000001</v>
      </c>
      <c r="H110" s="69">
        <v>230000</v>
      </c>
      <c r="I110" s="69">
        <v>230000</v>
      </c>
      <c r="J110" s="69">
        <v>230000</v>
      </c>
      <c r="K110" s="69">
        <v>230000</v>
      </c>
      <c r="L110" s="69"/>
      <c r="M110" s="69"/>
    </row>
    <row r="111" spans="1:13" ht="51" outlineLevel="7" x14ac:dyDescent="0.2">
      <c r="A111" s="113" t="s">
        <v>121</v>
      </c>
      <c r="B111" s="114" t="s">
        <v>33</v>
      </c>
      <c r="C111" s="30" t="s">
        <v>60</v>
      </c>
      <c r="D111" s="114" t="s">
        <v>22</v>
      </c>
      <c r="E111" s="114" t="s">
        <v>215</v>
      </c>
      <c r="F111" s="61">
        <f t="shared" ref="F111" si="74">SUM(F112:F113)</f>
        <v>0</v>
      </c>
      <c r="G111" s="61">
        <f t="shared" ref="G111:J111" si="75">SUM(G112:G113)</f>
        <v>0</v>
      </c>
      <c r="H111" s="61">
        <f t="shared" si="75"/>
        <v>0</v>
      </c>
      <c r="I111" s="61">
        <f t="shared" si="75"/>
        <v>0</v>
      </c>
      <c r="J111" s="61">
        <f t="shared" si="75"/>
        <v>0</v>
      </c>
      <c r="K111" s="61">
        <f t="shared" ref="K111:M111" si="76">SUM(K112:K113)</f>
        <v>0</v>
      </c>
      <c r="L111" s="61">
        <f t="shared" si="76"/>
        <v>0</v>
      </c>
      <c r="M111" s="61">
        <f t="shared" si="76"/>
        <v>0</v>
      </c>
    </row>
    <row r="112" spans="1:13" outlineLevel="7" x14ac:dyDescent="0.2">
      <c r="A112" s="113" t="s">
        <v>213</v>
      </c>
      <c r="B112" s="114"/>
      <c r="C112" s="30"/>
      <c r="D112" s="114"/>
      <c r="E112" s="114"/>
      <c r="F112" s="61"/>
      <c r="G112" s="61"/>
      <c r="H112" s="61"/>
      <c r="I112" s="61"/>
      <c r="J112" s="61"/>
      <c r="K112" s="61"/>
      <c r="L112" s="61"/>
      <c r="M112" s="61"/>
    </row>
    <row r="113" spans="1:13" outlineLevel="7" x14ac:dyDescent="0.2">
      <c r="A113" s="113" t="s">
        <v>214</v>
      </c>
      <c r="B113" s="114"/>
      <c r="C113" s="30"/>
      <c r="D113" s="114"/>
      <c r="E113" s="114"/>
      <c r="F113" s="61"/>
      <c r="G113" s="61"/>
      <c r="H113" s="61"/>
      <c r="I113" s="61"/>
      <c r="J113" s="61"/>
      <c r="K113" s="61"/>
      <c r="L113" s="61"/>
      <c r="M113" s="61"/>
    </row>
    <row r="114" spans="1:13" outlineLevel="7" x14ac:dyDescent="0.2">
      <c r="A114" s="113"/>
      <c r="B114" s="114"/>
      <c r="C114" s="30"/>
      <c r="D114" s="114"/>
      <c r="E114" s="114"/>
      <c r="F114" s="61"/>
      <c r="G114" s="61"/>
      <c r="H114" s="61"/>
      <c r="I114" s="61"/>
      <c r="J114" s="61"/>
      <c r="K114" s="61"/>
      <c r="L114" s="61"/>
      <c r="M114" s="61"/>
    </row>
    <row r="115" spans="1:13" ht="51" outlineLevel="7" x14ac:dyDescent="0.2">
      <c r="A115" s="113" t="s">
        <v>216</v>
      </c>
      <c r="B115" s="114" t="s">
        <v>33</v>
      </c>
      <c r="C115" s="30" t="s">
        <v>217</v>
      </c>
      <c r="D115" s="114" t="s">
        <v>22</v>
      </c>
      <c r="E115" s="114" t="s">
        <v>47</v>
      </c>
      <c r="F115" s="61"/>
      <c r="G115" s="61"/>
      <c r="H115" s="61"/>
      <c r="I115" s="61"/>
      <c r="J115" s="61"/>
      <c r="K115" s="61"/>
      <c r="L115" s="61"/>
      <c r="M115" s="61"/>
    </row>
    <row r="116" spans="1:13" ht="15" outlineLevel="7" x14ac:dyDescent="0.2">
      <c r="A116" s="127" t="s">
        <v>125</v>
      </c>
      <c r="B116" s="272" t="s">
        <v>141</v>
      </c>
      <c r="C116" s="273"/>
      <c r="D116" s="273"/>
      <c r="E116" s="274"/>
      <c r="F116" s="96">
        <f>F117+F132+F137+F141+F145+F152+F159+F162+F172+F192</f>
        <v>956064</v>
      </c>
      <c r="G116" s="96">
        <f>G117+G132+G137+G141+G145+G152+G159+G162+G172+G192</f>
        <v>2575937.02</v>
      </c>
      <c r="H116" s="96">
        <f>H117+H132+H137+H141+H145+H152+H159+H162+H172+H192</f>
        <v>3694253</v>
      </c>
      <c r="I116" s="96">
        <f>I117+I132+I137+I141+I145+I152+I159+I162+I172+I192</f>
        <v>794000</v>
      </c>
      <c r="J116" s="96">
        <f>J117+J132+J137+J141+J145+J152+J159+J162+J172+J192</f>
        <v>794000</v>
      </c>
      <c r="K116" s="96">
        <f t="shared" ref="K116:M116" si="77">K117+K132+K137+K141+K145+K152+K159+K162+K172+K192</f>
        <v>1093473</v>
      </c>
      <c r="L116" s="96">
        <f t="shared" si="77"/>
        <v>980884</v>
      </c>
      <c r="M116" s="96">
        <f t="shared" si="77"/>
        <v>2486052.9500000002</v>
      </c>
    </row>
    <row r="117" spans="1:13" ht="25.5" outlineLevel="7" x14ac:dyDescent="0.2">
      <c r="A117" s="123" t="s">
        <v>46</v>
      </c>
      <c r="B117" s="128"/>
      <c r="C117" s="129"/>
      <c r="D117" s="128"/>
      <c r="E117" s="128"/>
      <c r="F117" s="57">
        <f t="shared" ref="F117:J117" si="78">F118+F122+F126</f>
        <v>40000</v>
      </c>
      <c r="G117" s="57">
        <f t="shared" si="78"/>
        <v>40000</v>
      </c>
      <c r="H117" s="57">
        <f t="shared" si="78"/>
        <v>212200</v>
      </c>
      <c r="I117" s="57">
        <f t="shared" si="78"/>
        <v>250000</v>
      </c>
      <c r="J117" s="57">
        <f t="shared" si="78"/>
        <v>250000</v>
      </c>
      <c r="K117" s="57">
        <f t="shared" ref="K117:M117" si="79">K118+K122+K126</f>
        <v>20000</v>
      </c>
      <c r="L117" s="57">
        <f t="shared" si="79"/>
        <v>0</v>
      </c>
      <c r="M117" s="57">
        <f t="shared" si="79"/>
        <v>0</v>
      </c>
    </row>
    <row r="118" spans="1:13" ht="51" outlineLevel="7" x14ac:dyDescent="0.2">
      <c r="A118" s="97" t="s">
        <v>109</v>
      </c>
      <c r="B118" s="32" t="s">
        <v>35</v>
      </c>
      <c r="C118" s="35" t="s">
        <v>110</v>
      </c>
      <c r="D118" s="32" t="s">
        <v>22</v>
      </c>
      <c r="E118" s="32" t="s">
        <v>47</v>
      </c>
      <c r="F118" s="71">
        <f t="shared" ref="F118:J118" si="80">SUM(F119:F121)</f>
        <v>0</v>
      </c>
      <c r="G118" s="71">
        <f t="shared" si="80"/>
        <v>0</v>
      </c>
      <c r="H118" s="71">
        <f t="shared" si="80"/>
        <v>0</v>
      </c>
      <c r="I118" s="71">
        <f t="shared" si="80"/>
        <v>0</v>
      </c>
      <c r="J118" s="71">
        <f t="shared" si="80"/>
        <v>0</v>
      </c>
      <c r="K118" s="71">
        <f t="shared" ref="K118:M118" si="81">SUM(K119:K121)</f>
        <v>0</v>
      </c>
      <c r="L118" s="71">
        <f t="shared" si="81"/>
        <v>0</v>
      </c>
      <c r="M118" s="71">
        <f t="shared" si="81"/>
        <v>0</v>
      </c>
    </row>
    <row r="119" spans="1:13" outlineLevel="7" x14ac:dyDescent="0.2">
      <c r="A119" s="218"/>
      <c r="B119" s="219"/>
      <c r="C119" s="214"/>
      <c r="D119" s="220"/>
      <c r="E119" s="220"/>
      <c r="F119" s="210"/>
      <c r="G119" s="221"/>
      <c r="H119" s="210"/>
      <c r="I119" s="210"/>
      <c r="J119" s="210"/>
      <c r="K119" s="210"/>
      <c r="L119" s="210"/>
      <c r="M119" s="210"/>
    </row>
    <row r="120" spans="1:13" outlineLevel="7" x14ac:dyDescent="0.2">
      <c r="A120" s="215"/>
      <c r="B120" s="114"/>
      <c r="C120" s="51"/>
      <c r="D120" s="114"/>
      <c r="E120" s="114"/>
      <c r="F120" s="213"/>
      <c r="G120" s="206"/>
      <c r="H120" s="213"/>
      <c r="I120" s="213"/>
      <c r="J120" s="213"/>
      <c r="K120" s="213"/>
      <c r="L120" s="213"/>
      <c r="M120" s="213"/>
    </row>
    <row r="121" spans="1:13" outlineLevel="7" x14ac:dyDescent="0.2">
      <c r="A121" s="158" t="s">
        <v>206</v>
      </c>
      <c r="B121" s="114"/>
      <c r="C121" s="247"/>
      <c r="D121" s="114"/>
      <c r="E121" s="114"/>
      <c r="F121" s="213"/>
      <c r="G121" s="213"/>
      <c r="H121" s="213"/>
      <c r="I121" s="213"/>
      <c r="J121" s="213"/>
      <c r="K121" s="213"/>
      <c r="L121" s="213"/>
      <c r="M121" s="213"/>
    </row>
    <row r="122" spans="1:13" ht="38.25" outlineLevel="7" x14ac:dyDescent="0.2">
      <c r="A122" s="243" t="s">
        <v>122</v>
      </c>
      <c r="B122" s="244" t="s">
        <v>36</v>
      </c>
      <c r="C122" s="245" t="s">
        <v>108</v>
      </c>
      <c r="D122" s="244" t="s">
        <v>22</v>
      </c>
      <c r="E122" s="244" t="s">
        <v>47</v>
      </c>
      <c r="F122" s="246">
        <f t="shared" ref="F122:J122" si="82">SUM(F123:F125)</f>
        <v>0</v>
      </c>
      <c r="G122" s="246">
        <f t="shared" si="82"/>
        <v>0</v>
      </c>
      <c r="H122" s="246">
        <f t="shared" si="82"/>
        <v>0</v>
      </c>
      <c r="I122" s="246">
        <f t="shared" si="82"/>
        <v>0</v>
      </c>
      <c r="J122" s="246">
        <f t="shared" si="82"/>
        <v>0</v>
      </c>
      <c r="K122" s="246">
        <f t="shared" ref="K122:M122" si="83">SUM(K123:K125)</f>
        <v>0</v>
      </c>
      <c r="L122" s="246">
        <f t="shared" si="83"/>
        <v>0</v>
      </c>
      <c r="M122" s="246">
        <f t="shared" si="83"/>
        <v>0</v>
      </c>
    </row>
    <row r="123" spans="1:13" outlineLevel="7" x14ac:dyDescent="0.2">
      <c r="A123" s="224"/>
      <c r="B123" s="225"/>
      <c r="C123" s="52"/>
      <c r="D123" s="146"/>
      <c r="E123" s="28"/>
      <c r="F123" s="69"/>
      <c r="G123" s="69"/>
      <c r="H123" s="69"/>
      <c r="I123" s="69"/>
      <c r="J123" s="69"/>
      <c r="K123" s="69"/>
      <c r="L123" s="69"/>
      <c r="M123" s="69"/>
    </row>
    <row r="124" spans="1:13" outlineLevel="7" x14ac:dyDescent="0.2">
      <c r="A124" s="224"/>
      <c r="B124" s="145"/>
      <c r="C124" s="52"/>
      <c r="D124" s="146"/>
      <c r="E124" s="28"/>
      <c r="F124" s="69"/>
      <c r="G124" s="167"/>
      <c r="H124" s="69"/>
      <c r="I124" s="69"/>
      <c r="J124" s="69"/>
      <c r="K124" s="69"/>
      <c r="L124" s="69"/>
      <c r="M124" s="69"/>
    </row>
    <row r="125" spans="1:13" outlineLevel="7" x14ac:dyDescent="0.2">
      <c r="A125" s="79" t="s">
        <v>206</v>
      </c>
      <c r="B125" s="42"/>
      <c r="C125" s="98"/>
      <c r="D125" s="34"/>
      <c r="E125" s="31"/>
      <c r="F125" s="69"/>
      <c r="G125" s="69"/>
      <c r="H125" s="69"/>
      <c r="I125" s="69"/>
      <c r="J125" s="69"/>
      <c r="K125" s="69"/>
      <c r="L125" s="69"/>
      <c r="M125" s="69"/>
    </row>
    <row r="126" spans="1:13" ht="41.25" customHeight="1" outlineLevel="7" x14ac:dyDescent="0.2">
      <c r="A126" s="207" t="s">
        <v>211</v>
      </c>
      <c r="B126" s="90" t="s">
        <v>38</v>
      </c>
      <c r="C126" s="35" t="s">
        <v>115</v>
      </c>
      <c r="D126" s="91" t="s">
        <v>22</v>
      </c>
      <c r="E126" s="32" t="s">
        <v>47</v>
      </c>
      <c r="F126" s="71">
        <f t="shared" ref="F126" si="84">SUM(F127:F131)</f>
        <v>40000</v>
      </c>
      <c r="G126" s="71">
        <f t="shared" ref="G126" si="85">SUM(G127:G131)</f>
        <v>40000</v>
      </c>
      <c r="H126" s="71">
        <f t="shared" ref="H126:J126" si="86">SUM(H127:H131)</f>
        <v>212200</v>
      </c>
      <c r="I126" s="71">
        <f t="shared" si="86"/>
        <v>250000</v>
      </c>
      <c r="J126" s="71">
        <f t="shared" si="86"/>
        <v>250000</v>
      </c>
      <c r="K126" s="71">
        <f t="shared" ref="K126:M126" si="87">SUM(K127:K131)</f>
        <v>20000</v>
      </c>
      <c r="L126" s="71">
        <f t="shared" si="87"/>
        <v>0</v>
      </c>
      <c r="M126" s="71">
        <f t="shared" si="87"/>
        <v>0</v>
      </c>
    </row>
    <row r="127" spans="1:13" ht="25.5" outlineLevel="7" x14ac:dyDescent="0.2">
      <c r="A127" s="158" t="s">
        <v>182</v>
      </c>
      <c r="B127" s="168"/>
      <c r="C127" s="40"/>
      <c r="D127" s="80"/>
      <c r="E127" s="26"/>
      <c r="F127" s="69">
        <v>30000</v>
      </c>
      <c r="G127" s="195">
        <v>26835</v>
      </c>
      <c r="H127" s="69">
        <v>114000</v>
      </c>
      <c r="I127" s="69">
        <v>200000</v>
      </c>
      <c r="J127" s="69">
        <v>200000</v>
      </c>
      <c r="K127" s="69">
        <v>0</v>
      </c>
      <c r="L127" s="69">
        <v>0</v>
      </c>
      <c r="M127" s="69">
        <v>0</v>
      </c>
    </row>
    <row r="128" spans="1:13" outlineLevel="7" x14ac:dyDescent="0.2">
      <c r="A128" s="158" t="s">
        <v>183</v>
      </c>
      <c r="B128" s="80"/>
      <c r="C128" s="40"/>
      <c r="D128" s="26"/>
      <c r="E128" s="26"/>
      <c r="F128" s="69">
        <v>10000</v>
      </c>
      <c r="G128" s="69">
        <v>13165</v>
      </c>
      <c r="H128" s="61"/>
      <c r="I128" s="61"/>
      <c r="J128" s="61"/>
      <c r="K128" s="61"/>
      <c r="L128" s="61"/>
      <c r="M128" s="61"/>
    </row>
    <row r="129" spans="1:13" ht="38.25" outlineLevel="3" x14ac:dyDescent="0.2">
      <c r="A129" s="158" t="s">
        <v>212</v>
      </c>
      <c r="B129" s="80"/>
      <c r="C129" s="40"/>
      <c r="D129" s="26"/>
      <c r="E129" s="26"/>
      <c r="F129" s="167"/>
      <c r="G129" s="69"/>
      <c r="H129" s="69"/>
      <c r="I129" s="69"/>
      <c r="J129" s="69"/>
      <c r="K129" s="69"/>
      <c r="L129" s="69"/>
      <c r="M129" s="69"/>
    </row>
    <row r="130" spans="1:13" outlineLevel="4" x14ac:dyDescent="0.2">
      <c r="A130" s="159" t="s">
        <v>257</v>
      </c>
      <c r="B130" s="26"/>
      <c r="C130" s="30"/>
      <c r="D130" s="26"/>
      <c r="E130" s="26"/>
      <c r="F130" s="167"/>
      <c r="G130" s="195"/>
      <c r="H130" s="69">
        <v>98200</v>
      </c>
      <c r="I130" s="69">
        <v>50000</v>
      </c>
      <c r="J130" s="69">
        <v>50000</v>
      </c>
      <c r="K130" s="69">
        <v>20000</v>
      </c>
      <c r="L130" s="69">
        <v>0</v>
      </c>
      <c r="M130" s="69">
        <v>0</v>
      </c>
    </row>
    <row r="131" spans="1:13" ht="25.5" outlineLevel="4" x14ac:dyDescent="0.2">
      <c r="A131" s="159" t="s">
        <v>184</v>
      </c>
      <c r="B131" s="208"/>
      <c r="C131" s="169"/>
      <c r="D131" s="208"/>
      <c r="E131" s="208"/>
      <c r="F131" s="209"/>
      <c r="G131" s="209"/>
      <c r="H131" s="210"/>
      <c r="I131" s="210"/>
      <c r="J131" s="210"/>
      <c r="K131" s="210"/>
      <c r="L131" s="210"/>
      <c r="M131" s="210"/>
    </row>
    <row r="132" spans="1:13" ht="25.5" outlineLevel="4" x14ac:dyDescent="0.2">
      <c r="A132" s="6" t="s">
        <v>65</v>
      </c>
      <c r="B132" s="211"/>
      <c r="C132" s="212" t="s">
        <v>126</v>
      </c>
      <c r="D132" s="141" t="s">
        <v>22</v>
      </c>
      <c r="E132" s="141" t="s">
        <v>54</v>
      </c>
      <c r="F132" s="204">
        <f t="shared" ref="F132" si="88">SUM(F133:F136)</f>
        <v>9000</v>
      </c>
      <c r="G132" s="204">
        <f>SUM(G133:G136)</f>
        <v>109000</v>
      </c>
      <c r="H132" s="204">
        <f t="shared" ref="H132:J132" si="89">SUM(H133:H136)</f>
        <v>50000</v>
      </c>
      <c r="I132" s="204">
        <f t="shared" si="89"/>
        <v>0</v>
      </c>
      <c r="J132" s="204">
        <f t="shared" si="89"/>
        <v>0</v>
      </c>
      <c r="K132" s="204">
        <f t="shared" ref="K132:M132" si="90">SUM(K133:K136)</f>
        <v>22641</v>
      </c>
      <c r="L132" s="204">
        <f t="shared" si="90"/>
        <v>0</v>
      </c>
      <c r="M132" s="204">
        <f t="shared" si="90"/>
        <v>0</v>
      </c>
    </row>
    <row r="133" spans="1:13" ht="15" customHeight="1" outlineLevel="4" x14ac:dyDescent="0.2">
      <c r="A133" s="7"/>
      <c r="B133" s="22" t="s">
        <v>38</v>
      </c>
      <c r="C133" s="23" t="s">
        <v>126</v>
      </c>
      <c r="D133" s="22" t="s">
        <v>22</v>
      </c>
      <c r="E133" s="22" t="s">
        <v>54</v>
      </c>
      <c r="F133" s="61"/>
      <c r="G133" s="61"/>
      <c r="H133" s="61"/>
      <c r="I133" s="61"/>
      <c r="J133" s="167"/>
      <c r="K133" s="61"/>
      <c r="L133" s="61"/>
      <c r="M133" s="167"/>
    </row>
    <row r="134" spans="1:13" ht="15" customHeight="1" outlineLevel="4" x14ac:dyDescent="0.2">
      <c r="A134" s="7" t="s">
        <v>254</v>
      </c>
      <c r="B134" s="22" t="s">
        <v>32</v>
      </c>
      <c r="C134" s="23" t="s">
        <v>126</v>
      </c>
      <c r="D134" s="22" t="s">
        <v>22</v>
      </c>
      <c r="E134" s="22" t="s">
        <v>54</v>
      </c>
      <c r="F134" s="61"/>
      <c r="G134" s="83">
        <v>100000</v>
      </c>
      <c r="H134" s="83">
        <v>50000</v>
      </c>
      <c r="I134" s="61"/>
      <c r="J134" s="167"/>
      <c r="K134" s="83">
        <v>22641</v>
      </c>
      <c r="L134" s="61"/>
      <c r="M134" s="167"/>
    </row>
    <row r="135" spans="1:13" ht="15" customHeight="1" outlineLevel="7" x14ac:dyDescent="0.2">
      <c r="A135" s="7" t="s">
        <v>185</v>
      </c>
      <c r="B135" s="86" t="s">
        <v>36</v>
      </c>
      <c r="C135" s="104" t="s">
        <v>126</v>
      </c>
      <c r="D135" s="86" t="s">
        <v>22</v>
      </c>
      <c r="E135" s="86" t="s">
        <v>54</v>
      </c>
      <c r="F135" s="62">
        <v>9000</v>
      </c>
      <c r="G135" s="83"/>
      <c r="H135" s="62"/>
      <c r="I135" s="62"/>
      <c r="J135" s="216"/>
      <c r="K135" s="62"/>
      <c r="L135" s="62"/>
      <c r="M135" s="216"/>
    </row>
    <row r="136" spans="1:13" outlineLevel="7" x14ac:dyDescent="0.2">
      <c r="A136" s="196" t="s">
        <v>206</v>
      </c>
      <c r="B136" s="88"/>
      <c r="C136" s="106"/>
      <c r="D136" s="88"/>
      <c r="E136" s="88"/>
      <c r="F136" s="62"/>
      <c r="G136" s="83">
        <f>9000-G135</f>
        <v>9000</v>
      </c>
      <c r="H136" s="62"/>
      <c r="I136" s="62"/>
      <c r="J136" s="62"/>
      <c r="K136" s="62"/>
      <c r="L136" s="62"/>
      <c r="M136" s="62"/>
    </row>
    <row r="137" spans="1:13" ht="25.5" outlineLevel="7" x14ac:dyDescent="0.2">
      <c r="A137" s="6" t="s">
        <v>128</v>
      </c>
      <c r="B137" s="197" t="s">
        <v>35</v>
      </c>
      <c r="C137" s="198" t="s">
        <v>129</v>
      </c>
      <c r="D137" s="199" t="s">
        <v>22</v>
      </c>
      <c r="E137" s="141" t="s">
        <v>54</v>
      </c>
      <c r="F137" s="57">
        <f t="shared" ref="F137" si="91">SUM(F138:F140)</f>
        <v>0</v>
      </c>
      <c r="G137" s="57"/>
      <c r="H137" s="57">
        <f t="shared" ref="H137:J137" si="92">SUM(H138:H140)</f>
        <v>0</v>
      </c>
      <c r="I137" s="57">
        <f t="shared" si="92"/>
        <v>0</v>
      </c>
      <c r="J137" s="57">
        <f t="shared" si="92"/>
        <v>0</v>
      </c>
      <c r="K137" s="57">
        <f t="shared" ref="K137:M137" si="93">SUM(K138:K140)</f>
        <v>0</v>
      </c>
      <c r="L137" s="57">
        <f t="shared" si="93"/>
        <v>0</v>
      </c>
      <c r="M137" s="57">
        <f t="shared" si="93"/>
        <v>0</v>
      </c>
    </row>
    <row r="138" spans="1:13" outlineLevel="7" x14ac:dyDescent="0.2">
      <c r="A138" s="7"/>
      <c r="B138" s="102"/>
      <c r="C138" s="106"/>
      <c r="D138" s="89"/>
      <c r="E138" s="22"/>
      <c r="F138" s="62"/>
      <c r="G138" s="62"/>
      <c r="H138" s="62"/>
      <c r="I138" s="62"/>
      <c r="J138" s="62"/>
      <c r="K138" s="62"/>
      <c r="L138" s="62"/>
      <c r="M138" s="62"/>
    </row>
    <row r="139" spans="1:13" outlineLevel="7" x14ac:dyDescent="0.2">
      <c r="A139" s="7"/>
      <c r="B139" s="102"/>
      <c r="C139" s="106"/>
      <c r="D139" s="89"/>
      <c r="E139" s="22"/>
      <c r="F139" s="62"/>
      <c r="G139" s="62"/>
      <c r="H139" s="62"/>
      <c r="I139" s="62"/>
      <c r="J139" s="62"/>
      <c r="K139" s="62"/>
      <c r="L139" s="62"/>
      <c r="M139" s="62"/>
    </row>
    <row r="140" spans="1:13" outlineLevel="7" x14ac:dyDescent="0.2">
      <c r="A140" s="7"/>
      <c r="B140" s="102"/>
      <c r="C140" s="106"/>
      <c r="D140" s="89"/>
      <c r="E140" s="22"/>
      <c r="F140" s="62"/>
      <c r="G140" s="62"/>
      <c r="H140" s="62"/>
      <c r="I140" s="62"/>
      <c r="J140" s="62"/>
      <c r="K140" s="62"/>
      <c r="L140" s="62"/>
      <c r="M140" s="62"/>
    </row>
    <row r="141" spans="1:13" outlineLevel="7" x14ac:dyDescent="0.2">
      <c r="A141" s="6" t="s">
        <v>37</v>
      </c>
      <c r="B141" s="101" t="s">
        <v>36</v>
      </c>
      <c r="C141" s="105" t="s">
        <v>130</v>
      </c>
      <c r="D141" s="103" t="s">
        <v>22</v>
      </c>
      <c r="E141" s="16" t="s">
        <v>54</v>
      </c>
      <c r="F141" s="57">
        <f t="shared" ref="F141" si="94">SUM(F142:F144)</f>
        <v>0</v>
      </c>
      <c r="G141" s="57"/>
      <c r="H141" s="57">
        <f t="shared" ref="H141:J141" si="95">SUM(H142:H144)</f>
        <v>0</v>
      </c>
      <c r="I141" s="57">
        <f t="shared" si="95"/>
        <v>0</v>
      </c>
      <c r="J141" s="57">
        <f t="shared" si="95"/>
        <v>0</v>
      </c>
      <c r="K141" s="57">
        <f t="shared" ref="K141:M141" si="96">SUM(K142:K144)</f>
        <v>0</v>
      </c>
      <c r="L141" s="57">
        <f t="shared" si="96"/>
        <v>0</v>
      </c>
      <c r="M141" s="57">
        <f t="shared" si="96"/>
        <v>0</v>
      </c>
    </row>
    <row r="142" spans="1:13" outlineLevel="7" x14ac:dyDescent="0.2">
      <c r="A142" s="79"/>
      <c r="B142" s="102"/>
      <c r="C142" s="106"/>
      <c r="D142" s="89"/>
      <c r="E142" s="22"/>
      <c r="F142" s="62"/>
      <c r="G142" s="62"/>
      <c r="H142" s="62"/>
      <c r="I142" s="62"/>
      <c r="J142" s="62"/>
      <c r="K142" s="62"/>
      <c r="L142" s="62"/>
      <c r="M142" s="62"/>
    </row>
    <row r="143" spans="1:13" outlineLevel="7" x14ac:dyDescent="0.2">
      <c r="A143" s="7"/>
      <c r="B143" s="102"/>
      <c r="C143" s="106"/>
      <c r="D143" s="89"/>
      <c r="E143" s="22"/>
      <c r="F143" s="62"/>
      <c r="G143" s="62"/>
      <c r="H143" s="62"/>
      <c r="I143" s="62"/>
      <c r="J143" s="62"/>
      <c r="K143" s="62"/>
      <c r="L143" s="62"/>
      <c r="M143" s="62"/>
    </row>
    <row r="144" spans="1:13" outlineLevel="7" x14ac:dyDescent="0.2">
      <c r="A144" s="7"/>
      <c r="B144" s="102"/>
      <c r="C144" s="106"/>
      <c r="D144" s="89"/>
      <c r="E144" s="22"/>
      <c r="F144" s="62"/>
      <c r="G144" s="62"/>
      <c r="H144" s="62"/>
      <c r="I144" s="62"/>
      <c r="J144" s="62"/>
      <c r="K144" s="62"/>
      <c r="L144" s="62"/>
      <c r="M144" s="62"/>
    </row>
    <row r="145" spans="1:13" outlineLevel="7" x14ac:dyDescent="0.2">
      <c r="A145" s="6" t="s">
        <v>64</v>
      </c>
      <c r="B145" s="16" t="s">
        <v>209</v>
      </c>
      <c r="C145" s="20" t="s">
        <v>127</v>
      </c>
      <c r="D145" s="16" t="s">
        <v>22</v>
      </c>
      <c r="E145" s="16"/>
      <c r="F145" s="57">
        <f t="shared" ref="F145:J145" si="97">SUM(F146:F151)</f>
        <v>182552</v>
      </c>
      <c r="G145" s="57">
        <f t="shared" si="97"/>
        <v>461062.01999999996</v>
      </c>
      <c r="H145" s="57">
        <f t="shared" si="97"/>
        <v>448000</v>
      </c>
      <c r="I145" s="57">
        <f t="shared" si="97"/>
        <v>0</v>
      </c>
      <c r="J145" s="57">
        <f t="shared" si="97"/>
        <v>0</v>
      </c>
      <c r="K145" s="96">
        <f t="shared" ref="K145:M145" si="98">SUM(K146:K151)</f>
        <v>194832</v>
      </c>
      <c r="L145" s="57">
        <f t="shared" si="98"/>
        <v>223761</v>
      </c>
      <c r="M145" s="57">
        <f t="shared" si="98"/>
        <v>0</v>
      </c>
    </row>
    <row r="146" spans="1:13" outlineLevel="7" x14ac:dyDescent="0.2">
      <c r="A146" s="74" t="s">
        <v>207</v>
      </c>
      <c r="B146" s="16"/>
      <c r="C146" s="50"/>
      <c r="D146" s="16"/>
      <c r="E146" s="22" t="s">
        <v>47</v>
      </c>
      <c r="F146" s="61"/>
      <c r="G146" s="61">
        <v>65620.800000000003</v>
      </c>
      <c r="H146" s="61">
        <f>64500</f>
        <v>64500</v>
      </c>
      <c r="I146" s="61"/>
      <c r="J146" s="61"/>
      <c r="K146" s="248">
        <v>0</v>
      </c>
      <c r="L146" s="61"/>
      <c r="M146" s="61">
        <v>0</v>
      </c>
    </row>
    <row r="147" spans="1:13" outlineLevel="7" x14ac:dyDescent="0.2">
      <c r="A147" s="74" t="s">
        <v>208</v>
      </c>
      <c r="B147" s="75"/>
      <c r="C147" s="76"/>
      <c r="D147" s="75"/>
      <c r="E147" s="75" t="s">
        <v>54</v>
      </c>
      <c r="F147" s="62">
        <v>65000</v>
      </c>
      <c r="G147" s="175">
        <f>64449</f>
        <v>64449</v>
      </c>
      <c r="H147" s="62"/>
      <c r="I147" s="62"/>
      <c r="J147" s="62"/>
      <c r="K147" s="249"/>
      <c r="L147" s="62">
        <f>100000-77700</f>
        <v>22300</v>
      </c>
      <c r="M147" s="62">
        <v>0</v>
      </c>
    </row>
    <row r="148" spans="1:13" outlineLevel="7" x14ac:dyDescent="0.2">
      <c r="A148" s="74" t="s">
        <v>238</v>
      </c>
      <c r="B148" s="75"/>
      <c r="C148" s="76"/>
      <c r="D148" s="75"/>
      <c r="E148" s="75" t="s">
        <v>54</v>
      </c>
      <c r="F148" s="68">
        <v>18500</v>
      </c>
      <c r="G148" s="62">
        <f>6510</f>
        <v>6510</v>
      </c>
      <c r="H148" s="68">
        <f>5000+10000+18500</f>
        <v>33500</v>
      </c>
      <c r="I148" s="68"/>
      <c r="J148" s="68"/>
      <c r="K148" s="250">
        <v>33500</v>
      </c>
      <c r="L148" s="68"/>
      <c r="M148" s="68"/>
    </row>
    <row r="149" spans="1:13" ht="25.5" outlineLevel="7" x14ac:dyDescent="0.2">
      <c r="A149" s="39" t="s">
        <v>186</v>
      </c>
      <c r="B149" s="36"/>
      <c r="C149" s="37"/>
      <c r="D149" s="38"/>
      <c r="E149" s="75" t="s">
        <v>54</v>
      </c>
      <c r="F149" s="62">
        <v>99052</v>
      </c>
      <c r="G149" s="62"/>
      <c r="H149" s="62">
        <v>150000</v>
      </c>
      <c r="I149" s="62"/>
      <c r="J149" s="62"/>
      <c r="K149" s="249"/>
      <c r="L149" s="62"/>
      <c r="M149" s="62">
        <v>0</v>
      </c>
    </row>
    <row r="150" spans="1:13" outlineLevel="7" x14ac:dyDescent="0.2">
      <c r="A150" s="39" t="s">
        <v>252</v>
      </c>
      <c r="B150" s="36"/>
      <c r="C150" s="37"/>
      <c r="D150" s="38"/>
      <c r="E150" s="75"/>
      <c r="F150" s="62"/>
      <c r="G150" s="62"/>
      <c r="H150" s="62">
        <v>200000</v>
      </c>
      <c r="I150" s="62"/>
      <c r="J150" s="62"/>
      <c r="K150" s="249">
        <f>82159-10000+56841+32332</f>
        <v>161332</v>
      </c>
      <c r="L150" s="62">
        <v>201461</v>
      </c>
      <c r="M150" s="62"/>
    </row>
    <row r="151" spans="1:13" outlineLevel="7" x14ac:dyDescent="0.2">
      <c r="A151" s="39" t="s">
        <v>206</v>
      </c>
      <c r="B151" s="36"/>
      <c r="C151" s="37"/>
      <c r="D151" s="38"/>
      <c r="E151" s="75" t="s">
        <v>54</v>
      </c>
      <c r="F151" s="68"/>
      <c r="G151" s="68">
        <f>395441.22-SUM(G147:G149)</f>
        <v>324482.21999999997</v>
      </c>
      <c r="H151" s="68"/>
      <c r="I151" s="68"/>
      <c r="J151" s="68"/>
      <c r="K151" s="68"/>
      <c r="L151" s="68"/>
      <c r="M151" s="68"/>
    </row>
    <row r="152" spans="1:13" outlineLevel="7" x14ac:dyDescent="0.2">
      <c r="A152" s="6" t="s">
        <v>132</v>
      </c>
      <c r="B152" s="16" t="s">
        <v>38</v>
      </c>
      <c r="C152" s="35" t="s">
        <v>131</v>
      </c>
      <c r="D152" s="16"/>
      <c r="E152" s="16"/>
      <c r="F152" s="57">
        <f t="shared" ref="F152" si="99">F153+F154</f>
        <v>465000</v>
      </c>
      <c r="G152" s="57">
        <f t="shared" ref="G152" si="100">G153+G154</f>
        <v>465000</v>
      </c>
      <c r="H152" s="57">
        <f t="shared" ref="H152:J152" si="101">H153+H154</f>
        <v>428000</v>
      </c>
      <c r="I152" s="57">
        <f t="shared" si="101"/>
        <v>428000</v>
      </c>
      <c r="J152" s="57">
        <f t="shared" si="101"/>
        <v>428000</v>
      </c>
      <c r="K152" s="57">
        <f t="shared" ref="K152:M152" si="102">K153+K154</f>
        <v>458000</v>
      </c>
      <c r="L152" s="57">
        <f t="shared" si="102"/>
        <v>641123</v>
      </c>
      <c r="M152" s="57">
        <f t="shared" si="102"/>
        <v>278000</v>
      </c>
    </row>
    <row r="153" spans="1:13" outlineLevel="7" x14ac:dyDescent="0.2">
      <c r="A153" s="7" t="s">
        <v>176</v>
      </c>
      <c r="B153" s="33" t="s">
        <v>38</v>
      </c>
      <c r="C153" s="98" t="s">
        <v>131</v>
      </c>
      <c r="D153" s="33" t="s">
        <v>174</v>
      </c>
      <c r="E153" s="33" t="s">
        <v>54</v>
      </c>
      <c r="F153" s="62">
        <v>280000</v>
      </c>
      <c r="G153" s="62">
        <v>278101.08</v>
      </c>
      <c r="H153" s="62">
        <v>278000</v>
      </c>
      <c r="I153" s="62">
        <v>278000</v>
      </c>
      <c r="J153" s="62">
        <v>278000</v>
      </c>
      <c r="K153" s="62">
        <f>278000+30000</f>
        <v>308000</v>
      </c>
      <c r="L153" s="62">
        <v>278000</v>
      </c>
      <c r="M153" s="62">
        <v>278000</v>
      </c>
    </row>
    <row r="154" spans="1:13" outlineLevel="7" x14ac:dyDescent="0.2">
      <c r="A154" s="7"/>
      <c r="B154" s="33" t="s">
        <v>38</v>
      </c>
      <c r="C154" s="98" t="s">
        <v>131</v>
      </c>
      <c r="D154" s="33" t="s">
        <v>22</v>
      </c>
      <c r="E154" s="33" t="s">
        <v>54</v>
      </c>
      <c r="F154" s="62">
        <f t="shared" ref="F154:J154" si="103">SUM(F155:F158)</f>
        <v>185000</v>
      </c>
      <c r="G154" s="62">
        <f t="shared" si="103"/>
        <v>186898.91999999998</v>
      </c>
      <c r="H154" s="62">
        <f t="shared" si="103"/>
        <v>150000</v>
      </c>
      <c r="I154" s="62">
        <f t="shared" si="103"/>
        <v>150000</v>
      </c>
      <c r="J154" s="62">
        <f t="shared" si="103"/>
        <v>150000</v>
      </c>
      <c r="K154" s="62">
        <f t="shared" ref="K154:M154" si="104">SUM(K155:K158)</f>
        <v>150000</v>
      </c>
      <c r="L154" s="62">
        <f t="shared" si="104"/>
        <v>363123</v>
      </c>
      <c r="M154" s="62">
        <f t="shared" si="104"/>
        <v>0</v>
      </c>
    </row>
    <row r="155" spans="1:13" outlineLevel="7" x14ac:dyDescent="0.2">
      <c r="A155" s="7" t="s">
        <v>39</v>
      </c>
      <c r="B155" s="22"/>
      <c r="C155" s="23"/>
      <c r="D155" s="22"/>
      <c r="E155" s="22"/>
      <c r="F155" s="62">
        <v>5000</v>
      </c>
      <c r="G155" s="62"/>
      <c r="H155" s="62"/>
      <c r="I155" s="62"/>
      <c r="J155" s="62"/>
      <c r="K155" s="62"/>
      <c r="L155" s="62"/>
      <c r="M155" s="62"/>
    </row>
    <row r="156" spans="1:13" outlineLevel="7" x14ac:dyDescent="0.2">
      <c r="A156" s="7" t="s">
        <v>179</v>
      </c>
      <c r="B156" s="22"/>
      <c r="C156" s="104"/>
      <c r="D156" s="22"/>
      <c r="E156" s="22"/>
      <c r="F156" s="62">
        <v>150000</v>
      </c>
      <c r="G156" s="62"/>
      <c r="H156" s="62">
        <v>150000</v>
      </c>
      <c r="I156" s="62">
        <v>150000</v>
      </c>
      <c r="J156" s="62">
        <v>150000</v>
      </c>
      <c r="K156" s="62">
        <f>130000+20000</f>
        <v>150000</v>
      </c>
      <c r="L156" s="62">
        <f>150000+218923-5800</f>
        <v>363123</v>
      </c>
      <c r="M156" s="62">
        <v>0</v>
      </c>
    </row>
    <row r="157" spans="1:13" outlineLevel="7" x14ac:dyDescent="0.2">
      <c r="A157" s="7" t="s">
        <v>40</v>
      </c>
      <c r="B157" s="22"/>
      <c r="C157" s="104"/>
      <c r="D157" s="22"/>
      <c r="E157" s="22"/>
      <c r="F157" s="62">
        <v>30000</v>
      </c>
      <c r="G157" s="62"/>
      <c r="H157" s="62"/>
      <c r="I157" s="62"/>
      <c r="J157" s="62"/>
      <c r="K157" s="62"/>
      <c r="L157" s="62"/>
      <c r="M157" s="62"/>
    </row>
    <row r="158" spans="1:13" outlineLevel="7" x14ac:dyDescent="0.2">
      <c r="A158" s="7" t="s">
        <v>206</v>
      </c>
      <c r="B158" s="22"/>
      <c r="C158" s="104"/>
      <c r="D158" s="22"/>
      <c r="E158" s="22"/>
      <c r="F158" s="62"/>
      <c r="G158" s="62">
        <f>465000-G153-G155-G156-G157</f>
        <v>186898.91999999998</v>
      </c>
      <c r="H158" s="62"/>
      <c r="I158" s="62"/>
      <c r="J158" s="62"/>
      <c r="K158" s="62"/>
      <c r="L158" s="62"/>
      <c r="M158" s="62"/>
    </row>
    <row r="159" spans="1:13" outlineLevel="7" x14ac:dyDescent="0.2">
      <c r="A159" s="6" t="s">
        <v>133</v>
      </c>
      <c r="B159" s="16" t="s">
        <v>38</v>
      </c>
      <c r="C159" s="35" t="s">
        <v>136</v>
      </c>
      <c r="D159" s="16" t="s">
        <v>22</v>
      </c>
      <c r="E159" s="16" t="s">
        <v>54</v>
      </c>
      <c r="F159" s="66">
        <f t="shared" ref="F159" si="105">SUM(F160:F161)</f>
        <v>8000</v>
      </c>
      <c r="G159" s="66">
        <f t="shared" ref="G159:J159" si="106">SUM(G160:G161)</f>
        <v>9200</v>
      </c>
      <c r="H159" s="66">
        <f t="shared" si="106"/>
        <v>0</v>
      </c>
      <c r="I159" s="66">
        <f t="shared" si="106"/>
        <v>0</v>
      </c>
      <c r="J159" s="66">
        <f t="shared" si="106"/>
        <v>0</v>
      </c>
      <c r="K159" s="66">
        <f t="shared" ref="K159:M159" si="107">SUM(K160:K161)</f>
        <v>10000</v>
      </c>
      <c r="L159" s="66">
        <f t="shared" si="107"/>
        <v>0</v>
      </c>
      <c r="M159" s="66">
        <f t="shared" si="107"/>
        <v>0</v>
      </c>
    </row>
    <row r="160" spans="1:13" outlineLevel="7" x14ac:dyDescent="0.2">
      <c r="A160" s="7" t="s">
        <v>206</v>
      </c>
      <c r="B160" s="102"/>
      <c r="C160" s="106"/>
      <c r="D160" s="89"/>
      <c r="E160" s="22"/>
      <c r="F160" s="62"/>
      <c r="G160" s="62"/>
      <c r="H160" s="62"/>
      <c r="I160" s="62"/>
      <c r="J160" s="62"/>
      <c r="K160" s="62"/>
      <c r="L160" s="62"/>
      <c r="M160" s="62"/>
    </row>
    <row r="161" spans="1:13" ht="15.75" customHeight="1" outlineLevel="7" x14ac:dyDescent="0.2">
      <c r="A161" s="7" t="s">
        <v>134</v>
      </c>
      <c r="B161" s="102"/>
      <c r="C161" s="106"/>
      <c r="D161" s="89"/>
      <c r="E161" s="22"/>
      <c r="F161" s="62">
        <f>8000</f>
        <v>8000</v>
      </c>
      <c r="G161" s="62">
        <v>9200</v>
      </c>
      <c r="H161" s="62"/>
      <c r="I161" s="62"/>
      <c r="J161" s="62"/>
      <c r="K161" s="62">
        <v>10000</v>
      </c>
      <c r="L161" s="62"/>
      <c r="M161" s="62"/>
    </row>
    <row r="162" spans="1:13" outlineLevel="7" x14ac:dyDescent="0.2">
      <c r="A162" s="6" t="s">
        <v>63</v>
      </c>
      <c r="B162" s="16" t="s">
        <v>38</v>
      </c>
      <c r="C162" s="35" t="s">
        <v>135</v>
      </c>
      <c r="D162" s="16" t="s">
        <v>22</v>
      </c>
      <c r="E162" s="16" t="s">
        <v>54</v>
      </c>
      <c r="F162" s="57">
        <f t="shared" ref="F162:J162" si="108">SUM(F163:F171)</f>
        <v>143512</v>
      </c>
      <c r="G162" s="57">
        <f t="shared" si="108"/>
        <v>330172.34999999998</v>
      </c>
      <c r="H162" s="57">
        <f t="shared" si="108"/>
        <v>116000</v>
      </c>
      <c r="I162" s="57">
        <f t="shared" si="108"/>
        <v>116000</v>
      </c>
      <c r="J162" s="57">
        <f t="shared" si="108"/>
        <v>116000</v>
      </c>
      <c r="K162" s="57">
        <f t="shared" ref="K162:M162" si="109">SUM(K163:K171)</f>
        <v>116000</v>
      </c>
      <c r="L162" s="57">
        <f t="shared" si="109"/>
        <v>116000</v>
      </c>
      <c r="M162" s="57">
        <f t="shared" si="109"/>
        <v>24000</v>
      </c>
    </row>
    <row r="163" spans="1:13" outlineLevel="7" x14ac:dyDescent="0.2">
      <c r="A163" s="8" t="s">
        <v>187</v>
      </c>
      <c r="B163" s="24"/>
      <c r="C163" s="25"/>
      <c r="D163" s="24"/>
      <c r="E163" s="24"/>
      <c r="F163" s="62">
        <v>25000</v>
      </c>
      <c r="G163" s="62"/>
      <c r="H163" s="62"/>
      <c r="I163" s="62"/>
      <c r="J163" s="62"/>
      <c r="K163" s="62"/>
      <c r="L163" s="62"/>
      <c r="M163" s="62"/>
    </row>
    <row r="164" spans="1:13" outlineLevel="7" x14ac:dyDescent="0.2">
      <c r="A164" s="8" t="s">
        <v>260</v>
      </c>
      <c r="B164" s="22"/>
      <c r="C164" s="104"/>
      <c r="D164" s="22"/>
      <c r="E164" s="22"/>
      <c r="F164" s="62">
        <v>91512</v>
      </c>
      <c r="G164" s="62"/>
      <c r="H164" s="62">
        <v>92000</v>
      </c>
      <c r="I164" s="62">
        <v>92000</v>
      </c>
      <c r="J164" s="62">
        <v>92000</v>
      </c>
      <c r="K164" s="62">
        <v>92000</v>
      </c>
      <c r="L164" s="62">
        <v>92000</v>
      </c>
      <c r="M164" s="62">
        <v>0</v>
      </c>
    </row>
    <row r="165" spans="1:13" outlineLevel="7" x14ac:dyDescent="0.2">
      <c r="A165" s="8" t="s">
        <v>243</v>
      </c>
      <c r="B165" s="102"/>
      <c r="C165" s="106"/>
      <c r="D165" s="89"/>
      <c r="E165" s="22"/>
      <c r="F165" s="62">
        <v>0</v>
      </c>
      <c r="G165" s="62">
        <f>40153.68+53538.24</f>
        <v>93691.92</v>
      </c>
      <c r="H165" s="62"/>
      <c r="I165" s="62"/>
      <c r="J165" s="62"/>
      <c r="K165" s="62"/>
      <c r="L165" s="62"/>
      <c r="M165" s="62"/>
    </row>
    <row r="166" spans="1:13" outlineLevel="7" x14ac:dyDescent="0.2">
      <c r="A166" s="8" t="s">
        <v>218</v>
      </c>
      <c r="B166" s="102"/>
      <c r="C166" s="106"/>
      <c r="D166" s="89"/>
      <c r="E166" s="22"/>
      <c r="F166" s="62">
        <v>27000</v>
      </c>
      <c r="G166" s="62"/>
      <c r="H166" s="62"/>
      <c r="I166" s="62"/>
      <c r="J166" s="62"/>
      <c r="K166" s="62"/>
      <c r="L166" s="62"/>
      <c r="M166" s="62"/>
    </row>
    <row r="167" spans="1:13" ht="25.5" outlineLevel="7" x14ac:dyDescent="0.2">
      <c r="A167" s="193" t="s">
        <v>239</v>
      </c>
      <c r="B167" s="102"/>
      <c r="C167" s="106"/>
      <c r="D167" s="89"/>
      <c r="E167" s="22"/>
      <c r="F167" s="62"/>
      <c r="G167" s="62">
        <v>136790</v>
      </c>
      <c r="H167" s="62"/>
      <c r="I167" s="62"/>
      <c r="J167" s="62"/>
      <c r="K167" s="62"/>
      <c r="L167" s="62"/>
      <c r="M167" s="62"/>
    </row>
    <row r="168" spans="1:13" ht="25.5" outlineLevel="7" x14ac:dyDescent="0.2">
      <c r="A168" s="193" t="s">
        <v>240</v>
      </c>
      <c r="B168" s="102"/>
      <c r="C168" s="106"/>
      <c r="D168" s="89"/>
      <c r="E168" s="22"/>
      <c r="F168" s="62"/>
      <c r="G168" s="62">
        <v>3000</v>
      </c>
      <c r="H168" s="62"/>
      <c r="I168" s="62"/>
      <c r="J168" s="62"/>
      <c r="K168" s="62"/>
      <c r="L168" s="62"/>
      <c r="M168" s="62"/>
    </row>
    <row r="169" spans="1:13" outlineLevel="7" x14ac:dyDescent="0.2">
      <c r="A169" s="193" t="s">
        <v>242</v>
      </c>
      <c r="B169" s="102"/>
      <c r="C169" s="106"/>
      <c r="D169" s="89"/>
      <c r="E169" s="22"/>
      <c r="F169" s="62"/>
      <c r="G169" s="62">
        <v>15000</v>
      </c>
      <c r="H169" s="62"/>
      <c r="I169" s="62"/>
      <c r="J169" s="62"/>
      <c r="K169" s="62"/>
      <c r="L169" s="62"/>
      <c r="M169" s="62"/>
    </row>
    <row r="170" spans="1:13" outlineLevel="7" x14ac:dyDescent="0.2">
      <c r="A170" s="193" t="s">
        <v>241</v>
      </c>
      <c r="B170" s="102"/>
      <c r="C170" s="106"/>
      <c r="D170" s="89"/>
      <c r="E170" s="22"/>
      <c r="F170" s="62"/>
      <c r="G170" s="62">
        <v>15010</v>
      </c>
      <c r="H170" s="62">
        <v>24000</v>
      </c>
      <c r="I170" s="62">
        <v>24000</v>
      </c>
      <c r="J170" s="62">
        <v>24000</v>
      </c>
      <c r="K170" s="62">
        <v>24000</v>
      </c>
      <c r="L170" s="62">
        <v>24000</v>
      </c>
      <c r="M170" s="62">
        <v>24000</v>
      </c>
    </row>
    <row r="171" spans="1:13" outlineLevel="7" x14ac:dyDescent="0.2">
      <c r="A171" s="8" t="s">
        <v>206</v>
      </c>
      <c r="B171" s="102"/>
      <c r="C171" s="106"/>
      <c r="D171" s="89"/>
      <c r="E171" s="22"/>
      <c r="F171" s="62"/>
      <c r="G171" s="62">
        <f>330172.35-SUM(G163:G170)</f>
        <v>66680.429999999993</v>
      </c>
      <c r="H171" s="62"/>
      <c r="I171" s="62"/>
      <c r="J171" s="62"/>
      <c r="K171" s="62"/>
      <c r="L171" s="62"/>
      <c r="M171" s="62"/>
    </row>
    <row r="172" spans="1:13" ht="31.5" customHeight="1" outlineLevel="7" x14ac:dyDescent="0.2">
      <c r="A172" s="112" t="s">
        <v>200</v>
      </c>
      <c r="B172" s="16" t="s">
        <v>38</v>
      </c>
      <c r="C172" s="35" t="s">
        <v>163</v>
      </c>
      <c r="D172" s="103" t="s">
        <v>22</v>
      </c>
      <c r="E172" s="16"/>
      <c r="F172" s="57">
        <f t="shared" ref="F172" si="110">F173+F180+F186</f>
        <v>0</v>
      </c>
      <c r="G172" s="57">
        <f t="shared" ref="G172" si="111">G173+G180+G186</f>
        <v>0</v>
      </c>
      <c r="H172" s="57">
        <f>H173+H180+H186</f>
        <v>2184053</v>
      </c>
      <c r="I172" s="57">
        <f>I173+I180+I186</f>
        <v>0</v>
      </c>
      <c r="J172" s="57">
        <f>J173+J180+J186</f>
        <v>0</v>
      </c>
      <c r="K172" s="57">
        <f>K173+K180+K186</f>
        <v>0</v>
      </c>
      <c r="L172" s="57">
        <f t="shared" ref="L172:M172" si="112">L173+L180+L186</f>
        <v>0</v>
      </c>
      <c r="M172" s="57">
        <f t="shared" si="112"/>
        <v>2184052.9500000002</v>
      </c>
    </row>
    <row r="173" spans="1:13" ht="38.25" outlineLevel="7" x14ac:dyDescent="0.2">
      <c r="A173" s="226" t="s">
        <v>229</v>
      </c>
      <c r="B173" s="101"/>
      <c r="C173" s="35"/>
      <c r="D173" s="103"/>
      <c r="E173" s="16"/>
      <c r="F173" s="66">
        <f t="shared" ref="F173" si="113">SUM(F174:F179)</f>
        <v>0</v>
      </c>
      <c r="G173" s="66">
        <f t="shared" ref="G173" si="114">SUM(G174:G179)</f>
        <v>0</v>
      </c>
      <c r="H173" s="66">
        <f>SUM(H174:H179)</f>
        <v>2184053</v>
      </c>
      <c r="I173" s="66">
        <f>SUM(I174:I179)</f>
        <v>0</v>
      </c>
      <c r="J173" s="66">
        <f>SUM(J174:J179)</f>
        <v>0</v>
      </c>
      <c r="K173" s="66">
        <f t="shared" ref="K173:M173" si="115">SUM(K174:K179)</f>
        <v>0</v>
      </c>
      <c r="L173" s="66">
        <f t="shared" si="115"/>
        <v>0</v>
      </c>
      <c r="M173" s="66">
        <f t="shared" si="115"/>
        <v>2184052.9500000002</v>
      </c>
    </row>
    <row r="174" spans="1:13" outlineLevel="7" x14ac:dyDescent="0.2">
      <c r="A174" s="7" t="s">
        <v>146</v>
      </c>
      <c r="B174" s="33" t="s">
        <v>38</v>
      </c>
      <c r="C174" s="78" t="s">
        <v>163</v>
      </c>
      <c r="D174" s="107" t="s">
        <v>22</v>
      </c>
      <c r="E174" s="22" t="s">
        <v>151</v>
      </c>
      <c r="F174" s="62"/>
      <c r="G174" s="62"/>
      <c r="H174" s="62">
        <v>1528838</v>
      </c>
      <c r="I174" s="62"/>
      <c r="J174" s="62"/>
      <c r="K174" s="62"/>
      <c r="L174" s="62"/>
      <c r="M174" s="62">
        <v>1528836.95</v>
      </c>
    </row>
    <row r="175" spans="1:13" outlineLevel="7" x14ac:dyDescent="0.2">
      <c r="A175" s="7" t="s">
        <v>147</v>
      </c>
      <c r="B175" s="33" t="s">
        <v>38</v>
      </c>
      <c r="C175" s="78" t="s">
        <v>163</v>
      </c>
      <c r="D175" s="107" t="s">
        <v>22</v>
      </c>
      <c r="E175" s="22" t="s">
        <v>75</v>
      </c>
      <c r="F175" s="62"/>
      <c r="G175" s="62"/>
      <c r="H175" s="62">
        <v>633374</v>
      </c>
      <c r="I175" s="62"/>
      <c r="J175" s="62"/>
      <c r="K175" s="62">
        <f>633374-633374</f>
        <v>0</v>
      </c>
      <c r="L175" s="62"/>
      <c r="M175" s="62">
        <v>655216</v>
      </c>
    </row>
    <row r="176" spans="1:13" outlineLevel="7" x14ac:dyDescent="0.2">
      <c r="A176" s="7" t="s">
        <v>258</v>
      </c>
      <c r="B176" s="33" t="s">
        <v>38</v>
      </c>
      <c r="C176" s="78" t="s">
        <v>163</v>
      </c>
      <c r="D176" s="107" t="s">
        <v>22</v>
      </c>
      <c r="E176" s="22" t="s">
        <v>54</v>
      </c>
      <c r="F176" s="62"/>
      <c r="G176" s="62"/>
      <c r="H176" s="62"/>
      <c r="I176" s="62"/>
      <c r="J176" s="62"/>
      <c r="K176" s="62">
        <f>57000-57000</f>
        <v>0</v>
      </c>
      <c r="L176" s="62"/>
      <c r="M176" s="62"/>
    </row>
    <row r="177" spans="1:13" outlineLevel="7" x14ac:dyDescent="0.2">
      <c r="A177" s="7" t="s">
        <v>148</v>
      </c>
      <c r="B177" s="33" t="s">
        <v>38</v>
      </c>
      <c r="C177" s="78" t="s">
        <v>163</v>
      </c>
      <c r="D177" s="107" t="s">
        <v>22</v>
      </c>
      <c r="E177" s="22" t="s">
        <v>47</v>
      </c>
      <c r="F177" s="62"/>
      <c r="G177" s="62"/>
      <c r="H177" s="62"/>
      <c r="I177" s="62"/>
      <c r="J177" s="62"/>
      <c r="K177" s="62"/>
      <c r="L177" s="62"/>
      <c r="M177" s="62"/>
    </row>
    <row r="178" spans="1:13" outlineLevel="7" x14ac:dyDescent="0.2">
      <c r="A178" s="7" t="s">
        <v>158</v>
      </c>
      <c r="B178" s="33" t="s">
        <v>38</v>
      </c>
      <c r="C178" s="78" t="s">
        <v>163</v>
      </c>
      <c r="D178" s="107" t="s">
        <v>22</v>
      </c>
      <c r="E178" s="22" t="s">
        <v>75</v>
      </c>
      <c r="F178" s="62"/>
      <c r="G178" s="62"/>
      <c r="H178" s="62"/>
      <c r="I178" s="62"/>
      <c r="J178" s="62"/>
      <c r="K178" s="62"/>
      <c r="L178" s="62"/>
      <c r="M178" s="62"/>
    </row>
    <row r="179" spans="1:13" outlineLevel="7" x14ac:dyDescent="0.2">
      <c r="A179" s="7" t="s">
        <v>149</v>
      </c>
      <c r="B179" s="33" t="s">
        <v>38</v>
      </c>
      <c r="C179" s="78" t="s">
        <v>163</v>
      </c>
      <c r="D179" s="107" t="s">
        <v>22</v>
      </c>
      <c r="E179" s="22" t="s">
        <v>75</v>
      </c>
      <c r="F179" s="62"/>
      <c r="G179" s="62"/>
      <c r="H179" s="62">
        <v>21841</v>
      </c>
      <c r="I179" s="62"/>
      <c r="J179" s="62"/>
      <c r="K179" s="62">
        <f>21841-21841</f>
        <v>0</v>
      </c>
      <c r="L179" s="62"/>
      <c r="M179" s="62"/>
    </row>
    <row r="180" spans="1:13" outlineLevel="7" x14ac:dyDescent="0.2">
      <c r="A180" s="226"/>
      <c r="B180" s="149"/>
      <c r="C180" s="98"/>
      <c r="D180" s="107"/>
      <c r="E180" s="33"/>
      <c r="F180" s="66">
        <f t="shared" ref="F180" si="116">SUM(F181:F185)</f>
        <v>0</v>
      </c>
      <c r="G180" s="66">
        <f t="shared" ref="G180" si="117">SUM(G181:G185)</f>
        <v>0</v>
      </c>
      <c r="H180" s="66">
        <f t="shared" ref="H180:J180" si="118">SUM(H181:H185)</f>
        <v>0</v>
      </c>
      <c r="I180" s="66">
        <f t="shared" si="118"/>
        <v>0</v>
      </c>
      <c r="J180" s="66">
        <f t="shared" si="118"/>
        <v>0</v>
      </c>
      <c r="K180" s="66">
        <f t="shared" ref="K180:M180" si="119">SUM(K181:K185)</f>
        <v>0</v>
      </c>
      <c r="L180" s="66">
        <f t="shared" si="119"/>
        <v>0</v>
      </c>
      <c r="M180" s="66">
        <f t="shared" si="119"/>
        <v>0</v>
      </c>
    </row>
    <row r="181" spans="1:13" outlineLevel="7" x14ac:dyDescent="0.2">
      <c r="A181" s="7" t="s">
        <v>146</v>
      </c>
      <c r="B181" s="33" t="s">
        <v>38</v>
      </c>
      <c r="C181" s="78" t="s">
        <v>163</v>
      </c>
      <c r="D181" s="107" t="s">
        <v>22</v>
      </c>
      <c r="E181" s="22" t="s">
        <v>151</v>
      </c>
      <c r="F181" s="62"/>
      <c r="G181" s="62"/>
      <c r="H181" s="62"/>
      <c r="I181" s="62"/>
      <c r="J181" s="62"/>
      <c r="K181" s="62"/>
      <c r="L181" s="62"/>
      <c r="M181" s="62"/>
    </row>
    <row r="182" spans="1:13" outlineLevel="7" x14ac:dyDescent="0.2">
      <c r="A182" s="7" t="s">
        <v>147</v>
      </c>
      <c r="B182" s="33" t="s">
        <v>38</v>
      </c>
      <c r="C182" s="78" t="s">
        <v>163</v>
      </c>
      <c r="D182" s="107" t="s">
        <v>22</v>
      </c>
      <c r="E182" s="22" t="s">
        <v>75</v>
      </c>
      <c r="F182" s="62"/>
      <c r="G182" s="62"/>
      <c r="H182" s="62"/>
      <c r="I182" s="62"/>
      <c r="J182" s="62"/>
      <c r="K182" s="62"/>
      <c r="L182" s="62"/>
      <c r="M182" s="62"/>
    </row>
    <row r="183" spans="1:13" outlineLevel="7" x14ac:dyDescent="0.2">
      <c r="A183" s="7" t="s">
        <v>148</v>
      </c>
      <c r="B183" s="33" t="s">
        <v>38</v>
      </c>
      <c r="C183" s="78" t="s">
        <v>163</v>
      </c>
      <c r="D183" s="107" t="s">
        <v>22</v>
      </c>
      <c r="E183" s="22" t="s">
        <v>47</v>
      </c>
      <c r="F183" s="62"/>
      <c r="G183" s="62"/>
      <c r="H183" s="62"/>
      <c r="I183" s="62"/>
      <c r="J183" s="62"/>
      <c r="K183" s="62"/>
      <c r="L183" s="62"/>
      <c r="M183" s="62"/>
    </row>
    <row r="184" spans="1:13" outlineLevel="7" x14ac:dyDescent="0.2">
      <c r="A184" s="7" t="s">
        <v>158</v>
      </c>
      <c r="B184" s="33" t="s">
        <v>38</v>
      </c>
      <c r="C184" s="78" t="s">
        <v>163</v>
      </c>
      <c r="D184" s="107" t="s">
        <v>22</v>
      </c>
      <c r="E184" s="22" t="s">
        <v>75</v>
      </c>
      <c r="F184" s="62"/>
      <c r="G184" s="62"/>
      <c r="H184" s="62"/>
      <c r="I184" s="62"/>
      <c r="J184" s="62"/>
      <c r="K184" s="62"/>
      <c r="L184" s="62"/>
      <c r="M184" s="62"/>
    </row>
    <row r="185" spans="1:13" outlineLevel="7" x14ac:dyDescent="0.2">
      <c r="A185" s="85" t="s">
        <v>149</v>
      </c>
      <c r="B185" s="33" t="s">
        <v>38</v>
      </c>
      <c r="C185" s="78" t="s">
        <v>163</v>
      </c>
      <c r="D185" s="107" t="s">
        <v>22</v>
      </c>
      <c r="E185" s="22" t="s">
        <v>75</v>
      </c>
      <c r="F185" s="62"/>
      <c r="G185" s="62"/>
      <c r="H185" s="62"/>
      <c r="I185" s="62"/>
      <c r="J185" s="62"/>
      <c r="K185" s="62"/>
      <c r="L185" s="62"/>
      <c r="M185" s="62"/>
    </row>
    <row r="186" spans="1:13" outlineLevel="7" x14ac:dyDescent="0.2">
      <c r="A186" s="227"/>
      <c r="B186" s="103"/>
      <c r="C186" s="35"/>
      <c r="D186" s="103"/>
      <c r="E186" s="16"/>
      <c r="F186" s="66">
        <f t="shared" ref="F186" si="120">SUM(F187:F191)</f>
        <v>0</v>
      </c>
      <c r="G186" s="66">
        <f t="shared" ref="G186" si="121">SUM(G187:G191)</f>
        <v>0</v>
      </c>
      <c r="H186" s="66">
        <f>SUM(H187:H191)</f>
        <v>0</v>
      </c>
      <c r="I186" s="66">
        <f t="shared" ref="I186:J186" si="122">SUM(I187:I191)</f>
        <v>0</v>
      </c>
      <c r="J186" s="66">
        <f t="shared" si="122"/>
        <v>0</v>
      </c>
      <c r="K186" s="66">
        <f>SUM(K187:K191)</f>
        <v>0</v>
      </c>
      <c r="L186" s="66">
        <f t="shared" ref="L186:M186" si="123">SUM(L187:L191)</f>
        <v>0</v>
      </c>
      <c r="M186" s="66">
        <f t="shared" si="123"/>
        <v>0</v>
      </c>
    </row>
    <row r="187" spans="1:13" outlineLevel="7" x14ac:dyDescent="0.2">
      <c r="A187" s="7" t="s">
        <v>146</v>
      </c>
      <c r="B187" s="33" t="s">
        <v>38</v>
      </c>
      <c r="C187" s="78" t="s">
        <v>163</v>
      </c>
      <c r="D187" s="107" t="s">
        <v>22</v>
      </c>
      <c r="E187" s="22" t="s">
        <v>151</v>
      </c>
      <c r="F187" s="62"/>
      <c r="G187" s="62"/>
      <c r="H187" s="62"/>
      <c r="I187" s="62"/>
      <c r="J187" s="62"/>
      <c r="K187" s="62"/>
      <c r="L187" s="62"/>
      <c r="M187" s="62"/>
    </row>
    <row r="188" spans="1:13" outlineLevel="7" x14ac:dyDescent="0.2">
      <c r="A188" s="7" t="s">
        <v>147</v>
      </c>
      <c r="B188" s="33" t="s">
        <v>38</v>
      </c>
      <c r="C188" s="78" t="s">
        <v>163</v>
      </c>
      <c r="D188" s="107" t="s">
        <v>22</v>
      </c>
      <c r="E188" s="22" t="s">
        <v>75</v>
      </c>
      <c r="F188" s="62"/>
      <c r="G188" s="62"/>
      <c r="H188" s="62"/>
      <c r="I188" s="62"/>
      <c r="J188" s="62"/>
      <c r="K188" s="62"/>
      <c r="L188" s="62"/>
      <c r="M188" s="62"/>
    </row>
    <row r="189" spans="1:13" outlineLevel="7" x14ac:dyDescent="0.2">
      <c r="A189" s="7" t="s">
        <v>148</v>
      </c>
      <c r="B189" s="33" t="s">
        <v>38</v>
      </c>
      <c r="C189" s="78" t="s">
        <v>163</v>
      </c>
      <c r="D189" s="107" t="s">
        <v>22</v>
      </c>
      <c r="E189" s="22" t="s">
        <v>47</v>
      </c>
      <c r="F189" s="62"/>
      <c r="G189" s="62"/>
      <c r="H189" s="62"/>
      <c r="I189" s="62"/>
      <c r="J189" s="62"/>
      <c r="K189" s="62"/>
      <c r="L189" s="62"/>
      <c r="M189" s="62"/>
    </row>
    <row r="190" spans="1:13" outlineLevel="7" x14ac:dyDescent="0.2">
      <c r="A190" s="7" t="s">
        <v>158</v>
      </c>
      <c r="B190" s="33" t="s">
        <v>38</v>
      </c>
      <c r="C190" s="78" t="s">
        <v>163</v>
      </c>
      <c r="D190" s="107" t="s">
        <v>22</v>
      </c>
      <c r="E190" s="22" t="s">
        <v>75</v>
      </c>
      <c r="F190" s="62"/>
      <c r="G190" s="62"/>
      <c r="H190" s="62"/>
      <c r="I190" s="62"/>
      <c r="J190" s="62"/>
      <c r="K190" s="62"/>
      <c r="L190" s="62"/>
      <c r="M190" s="62"/>
    </row>
    <row r="191" spans="1:13" outlineLevel="7" x14ac:dyDescent="0.2">
      <c r="A191" s="85" t="s">
        <v>149</v>
      </c>
      <c r="B191" s="33" t="s">
        <v>38</v>
      </c>
      <c r="C191" s="78" t="s">
        <v>163</v>
      </c>
      <c r="D191" s="107" t="s">
        <v>22</v>
      </c>
      <c r="E191" s="22" t="s">
        <v>75</v>
      </c>
      <c r="F191" s="62"/>
      <c r="G191" s="62"/>
      <c r="H191" s="62"/>
      <c r="I191" s="62"/>
      <c r="J191" s="62"/>
      <c r="K191" s="62"/>
      <c r="L191" s="62"/>
      <c r="M191" s="62"/>
    </row>
    <row r="192" spans="1:13" ht="31.5" outlineLevel="7" x14ac:dyDescent="0.2">
      <c r="A192" s="112" t="s">
        <v>150</v>
      </c>
      <c r="B192" s="16" t="s">
        <v>38</v>
      </c>
      <c r="C192" s="35"/>
      <c r="D192" s="103" t="s">
        <v>22</v>
      </c>
      <c r="E192" s="33"/>
      <c r="F192" s="57">
        <f>F193+F199+F205</f>
        <v>108000</v>
      </c>
      <c r="G192" s="57">
        <f>G193+G199+G205</f>
        <v>1161502.6499999999</v>
      </c>
      <c r="H192" s="57">
        <f t="shared" ref="H192:J192" si="124">H193+H205</f>
        <v>256000</v>
      </c>
      <c r="I192" s="57">
        <f t="shared" si="124"/>
        <v>0</v>
      </c>
      <c r="J192" s="57">
        <f t="shared" si="124"/>
        <v>0</v>
      </c>
      <c r="K192" s="57">
        <f t="shared" ref="K192:M192" si="125">K193+K205</f>
        <v>272000</v>
      </c>
      <c r="L192" s="57">
        <f t="shared" si="125"/>
        <v>0</v>
      </c>
      <c r="M192" s="57">
        <f t="shared" si="125"/>
        <v>0</v>
      </c>
    </row>
    <row r="193" spans="1:13" ht="38.25" outlineLevel="7" x14ac:dyDescent="0.2">
      <c r="A193" s="226" t="s">
        <v>226</v>
      </c>
      <c r="B193" s="101"/>
      <c r="C193" s="35"/>
      <c r="D193" s="103"/>
      <c r="E193" s="16"/>
      <c r="F193" s="57">
        <f t="shared" ref="F193" si="126">SUM(F194:F198)</f>
        <v>54000</v>
      </c>
      <c r="G193" s="57">
        <f t="shared" ref="G193" si="127">SUM(G194:G198)</f>
        <v>614185.57999999996</v>
      </c>
      <c r="H193" s="57">
        <f t="shared" ref="H193:J193" si="128">SUM(H194:H198)</f>
        <v>256000</v>
      </c>
      <c r="I193" s="57">
        <f t="shared" si="128"/>
        <v>0</v>
      </c>
      <c r="J193" s="57">
        <f t="shared" si="128"/>
        <v>0</v>
      </c>
      <c r="K193" s="96">
        <f t="shared" ref="K193:M193" si="129">SUM(K194:K198)</f>
        <v>272000</v>
      </c>
      <c r="L193" s="57">
        <f t="shared" si="129"/>
        <v>0</v>
      </c>
      <c r="M193" s="57">
        <f t="shared" si="129"/>
        <v>0</v>
      </c>
    </row>
    <row r="194" spans="1:13" outlineLevel="7" x14ac:dyDescent="0.2">
      <c r="A194" s="7" t="s">
        <v>146</v>
      </c>
      <c r="B194" s="33" t="s">
        <v>38</v>
      </c>
      <c r="C194" s="222" t="s">
        <v>210</v>
      </c>
      <c r="D194" s="107" t="s">
        <v>22</v>
      </c>
      <c r="E194" s="22" t="s">
        <v>151</v>
      </c>
      <c r="F194" s="61"/>
      <c r="G194" s="61">
        <v>545185</v>
      </c>
      <c r="H194" s="61"/>
      <c r="I194" s="61"/>
      <c r="J194" s="61"/>
      <c r="K194" s="248"/>
      <c r="L194" s="61"/>
      <c r="M194" s="61"/>
    </row>
    <row r="195" spans="1:13" outlineLevel="7" x14ac:dyDescent="0.2">
      <c r="A195" s="7" t="s">
        <v>147</v>
      </c>
      <c r="B195" s="33" t="s">
        <v>38</v>
      </c>
      <c r="C195" s="222" t="s">
        <v>210</v>
      </c>
      <c r="D195" s="107" t="s">
        <v>22</v>
      </c>
      <c r="E195" s="22" t="s">
        <v>75</v>
      </c>
      <c r="F195" s="61">
        <v>30000</v>
      </c>
      <c r="G195" s="61">
        <v>30000.58</v>
      </c>
      <c r="H195" s="61">
        <f>185000+30000</f>
        <v>215000</v>
      </c>
      <c r="I195" s="61"/>
      <c r="J195" s="61"/>
      <c r="K195" s="248">
        <f>185000+30000</f>
        <v>215000</v>
      </c>
      <c r="L195" s="61"/>
      <c r="M195" s="61"/>
    </row>
    <row r="196" spans="1:13" outlineLevel="7" x14ac:dyDescent="0.2">
      <c r="A196" s="7" t="s">
        <v>258</v>
      </c>
      <c r="B196" s="33" t="s">
        <v>38</v>
      </c>
      <c r="C196" s="222" t="s">
        <v>210</v>
      </c>
      <c r="D196" s="107" t="s">
        <v>22</v>
      </c>
      <c r="E196" s="22" t="s">
        <v>54</v>
      </c>
      <c r="F196" s="61"/>
      <c r="G196" s="61">
        <v>15000</v>
      </c>
      <c r="H196" s="61">
        <v>17000</v>
      </c>
      <c r="I196" s="61"/>
      <c r="J196" s="61"/>
      <c r="K196" s="248">
        <v>33000</v>
      </c>
      <c r="L196" s="61"/>
      <c r="M196" s="61"/>
    </row>
    <row r="197" spans="1:13" outlineLevel="7" x14ac:dyDescent="0.2">
      <c r="A197" s="7" t="s">
        <v>148</v>
      </c>
      <c r="B197" s="33" t="s">
        <v>38</v>
      </c>
      <c r="C197" s="222" t="s">
        <v>210</v>
      </c>
      <c r="D197" s="107" t="s">
        <v>22</v>
      </c>
      <c r="E197" s="22" t="s">
        <v>47</v>
      </c>
      <c r="F197" s="61"/>
      <c r="G197" s="61"/>
      <c r="H197" s="61"/>
      <c r="I197" s="61"/>
      <c r="J197" s="61"/>
      <c r="K197" s="248"/>
      <c r="L197" s="61"/>
      <c r="M197" s="61"/>
    </row>
    <row r="198" spans="1:13" outlineLevel="7" x14ac:dyDescent="0.2">
      <c r="A198" s="7" t="s">
        <v>149</v>
      </c>
      <c r="B198" s="33" t="s">
        <v>38</v>
      </c>
      <c r="C198" s="222" t="s">
        <v>210</v>
      </c>
      <c r="D198" s="107" t="s">
        <v>22</v>
      </c>
      <c r="E198" s="22" t="s">
        <v>75</v>
      </c>
      <c r="F198" s="61">
        <v>24000</v>
      </c>
      <c r="G198" s="61">
        <v>24000</v>
      </c>
      <c r="H198" s="61">
        <v>24000</v>
      </c>
      <c r="I198" s="61"/>
      <c r="J198" s="61"/>
      <c r="K198" s="248">
        <v>24000</v>
      </c>
      <c r="L198" s="61"/>
      <c r="M198" s="61"/>
    </row>
    <row r="199" spans="1:13" ht="51" outlineLevel="7" x14ac:dyDescent="0.2">
      <c r="A199" s="226" t="s">
        <v>223</v>
      </c>
      <c r="B199" s="101"/>
      <c r="C199" s="35"/>
      <c r="D199" s="103"/>
      <c r="E199" s="16"/>
      <c r="F199" s="57">
        <f t="shared" ref="F199" si="130">SUM(F200:F204)</f>
        <v>54000</v>
      </c>
      <c r="G199" s="57">
        <f t="shared" ref="G199:J199" si="131">SUM(G200:G204)</f>
        <v>547317.07000000007</v>
      </c>
      <c r="H199" s="57">
        <f t="shared" si="131"/>
        <v>0</v>
      </c>
      <c r="I199" s="57">
        <f t="shared" si="131"/>
        <v>0</v>
      </c>
      <c r="J199" s="57">
        <f t="shared" si="131"/>
        <v>0</v>
      </c>
      <c r="K199" s="57">
        <f t="shared" ref="K199:M199" si="132">SUM(K200:K204)</f>
        <v>0</v>
      </c>
      <c r="L199" s="57">
        <f t="shared" si="132"/>
        <v>0</v>
      </c>
      <c r="M199" s="57">
        <f t="shared" si="132"/>
        <v>0</v>
      </c>
    </row>
    <row r="200" spans="1:13" outlineLevel="7" x14ac:dyDescent="0.2">
      <c r="A200" s="7" t="s">
        <v>146</v>
      </c>
      <c r="B200" s="33" t="s">
        <v>38</v>
      </c>
      <c r="C200" s="222" t="s">
        <v>224</v>
      </c>
      <c r="D200" s="107" t="s">
        <v>22</v>
      </c>
      <c r="E200" s="22" t="s">
        <v>151</v>
      </c>
      <c r="F200" s="61"/>
      <c r="G200" s="61">
        <v>454814</v>
      </c>
      <c r="H200" s="61"/>
      <c r="I200" s="61"/>
      <c r="J200" s="61"/>
      <c r="K200" s="61"/>
      <c r="L200" s="61"/>
      <c r="M200" s="61"/>
    </row>
    <row r="201" spans="1:13" outlineLevel="7" x14ac:dyDescent="0.2">
      <c r="A201" s="7" t="s">
        <v>147</v>
      </c>
      <c r="B201" s="33" t="s">
        <v>38</v>
      </c>
      <c r="C201" s="222" t="s">
        <v>224</v>
      </c>
      <c r="D201" s="107" t="s">
        <v>22</v>
      </c>
      <c r="E201" s="22" t="s">
        <v>75</v>
      </c>
      <c r="F201" s="61">
        <v>30000</v>
      </c>
      <c r="G201" s="61">
        <v>33503.07</v>
      </c>
      <c r="H201" s="61"/>
      <c r="I201" s="61"/>
      <c r="J201" s="61"/>
      <c r="K201" s="61"/>
      <c r="L201" s="61"/>
      <c r="M201" s="61"/>
    </row>
    <row r="202" spans="1:13" outlineLevel="7" x14ac:dyDescent="0.2">
      <c r="A202" s="7" t="s">
        <v>147</v>
      </c>
      <c r="B202" s="33" t="s">
        <v>38</v>
      </c>
      <c r="C202" s="222" t="s">
        <v>224</v>
      </c>
      <c r="D202" s="107" t="s">
        <v>22</v>
      </c>
      <c r="E202" s="22" t="s">
        <v>54</v>
      </c>
      <c r="F202" s="61"/>
      <c r="G202" s="61">
        <v>35000</v>
      </c>
      <c r="H202" s="61"/>
      <c r="I202" s="61"/>
      <c r="J202" s="61"/>
      <c r="K202" s="61"/>
      <c r="L202" s="61"/>
      <c r="M202" s="61"/>
    </row>
    <row r="203" spans="1:13" outlineLevel="7" x14ac:dyDescent="0.2">
      <c r="A203" s="7" t="s">
        <v>148</v>
      </c>
      <c r="B203" s="33" t="s">
        <v>38</v>
      </c>
      <c r="C203" s="222" t="s">
        <v>224</v>
      </c>
      <c r="D203" s="107" t="s">
        <v>22</v>
      </c>
      <c r="E203" s="22" t="s">
        <v>47</v>
      </c>
      <c r="F203" s="61"/>
      <c r="G203" s="61"/>
      <c r="H203" s="61"/>
      <c r="I203" s="61"/>
      <c r="J203" s="61"/>
      <c r="K203" s="61"/>
      <c r="L203" s="61"/>
      <c r="M203" s="61"/>
    </row>
    <row r="204" spans="1:13" outlineLevel="7" x14ac:dyDescent="0.2">
      <c r="A204" s="7" t="s">
        <v>149</v>
      </c>
      <c r="B204" s="33" t="s">
        <v>38</v>
      </c>
      <c r="C204" s="222" t="s">
        <v>224</v>
      </c>
      <c r="D204" s="107" t="s">
        <v>22</v>
      </c>
      <c r="E204" s="22" t="s">
        <v>75</v>
      </c>
      <c r="F204" s="61">
        <v>24000</v>
      </c>
      <c r="G204" s="61">
        <v>24000</v>
      </c>
      <c r="H204" s="61"/>
      <c r="I204" s="61"/>
      <c r="J204" s="61"/>
      <c r="K204" s="61"/>
      <c r="L204" s="61"/>
      <c r="M204" s="61"/>
    </row>
    <row r="205" spans="1:13" outlineLevel="7" x14ac:dyDescent="0.2">
      <c r="A205" s="226"/>
      <c r="B205" s="149"/>
      <c r="C205" s="98"/>
      <c r="D205" s="107"/>
      <c r="E205" s="33"/>
      <c r="F205" s="67">
        <f t="shared" ref="F205" si="133">SUM(F206:F209)</f>
        <v>0</v>
      </c>
      <c r="G205" s="67">
        <f t="shared" ref="G205" si="134">SUM(G206:G209)</f>
        <v>0</v>
      </c>
      <c r="H205" s="67">
        <f t="shared" ref="H205:J205" si="135">SUM(H206:H209)</f>
        <v>0</v>
      </c>
      <c r="I205" s="67">
        <f t="shared" si="135"/>
        <v>0</v>
      </c>
      <c r="J205" s="67">
        <f t="shared" si="135"/>
        <v>0</v>
      </c>
      <c r="K205" s="67">
        <f t="shared" ref="K205:M205" si="136">SUM(K206:K209)</f>
        <v>0</v>
      </c>
      <c r="L205" s="67">
        <f t="shared" si="136"/>
        <v>0</v>
      </c>
      <c r="M205" s="67">
        <f t="shared" si="136"/>
        <v>0</v>
      </c>
    </row>
    <row r="206" spans="1:13" outlineLevel="7" x14ac:dyDescent="0.2">
      <c r="A206" s="7" t="s">
        <v>146</v>
      </c>
      <c r="B206" s="33" t="s">
        <v>38</v>
      </c>
      <c r="C206" s="78" t="s">
        <v>173</v>
      </c>
      <c r="D206" s="107" t="s">
        <v>22</v>
      </c>
      <c r="E206" s="22" t="s">
        <v>151</v>
      </c>
      <c r="F206" s="61"/>
      <c r="G206" s="61"/>
      <c r="H206" s="61"/>
      <c r="I206" s="61"/>
      <c r="J206" s="61"/>
      <c r="K206" s="61"/>
      <c r="L206" s="61"/>
      <c r="M206" s="61"/>
    </row>
    <row r="207" spans="1:13" outlineLevel="7" x14ac:dyDescent="0.2">
      <c r="A207" s="7" t="s">
        <v>147</v>
      </c>
      <c r="B207" s="33" t="s">
        <v>38</v>
      </c>
      <c r="C207" s="78" t="s">
        <v>173</v>
      </c>
      <c r="D207" s="107" t="s">
        <v>22</v>
      </c>
      <c r="E207" s="22" t="s">
        <v>75</v>
      </c>
      <c r="F207" s="61"/>
      <c r="G207" s="61"/>
      <c r="H207" s="61"/>
      <c r="I207" s="61"/>
      <c r="J207" s="61"/>
      <c r="K207" s="61"/>
      <c r="L207" s="61"/>
      <c r="M207" s="61"/>
    </row>
    <row r="208" spans="1:13" outlineLevel="7" x14ac:dyDescent="0.2">
      <c r="A208" s="7" t="s">
        <v>148</v>
      </c>
      <c r="B208" s="33" t="s">
        <v>38</v>
      </c>
      <c r="C208" s="78" t="s">
        <v>173</v>
      </c>
      <c r="D208" s="107" t="s">
        <v>22</v>
      </c>
      <c r="E208" s="22" t="s">
        <v>47</v>
      </c>
      <c r="F208" s="61"/>
      <c r="G208" s="61"/>
      <c r="H208" s="61"/>
      <c r="I208" s="61"/>
      <c r="J208" s="61"/>
      <c r="K208" s="61"/>
      <c r="L208" s="61"/>
      <c r="M208" s="61"/>
    </row>
    <row r="209" spans="1:13" outlineLevel="7" x14ac:dyDescent="0.2">
      <c r="A209" s="7" t="s">
        <v>149</v>
      </c>
      <c r="B209" s="33" t="s">
        <v>38</v>
      </c>
      <c r="C209" s="78" t="s">
        <v>173</v>
      </c>
      <c r="D209" s="107" t="s">
        <v>22</v>
      </c>
      <c r="E209" s="22" t="s">
        <v>75</v>
      </c>
      <c r="F209" s="61"/>
      <c r="G209" s="61"/>
      <c r="H209" s="61"/>
      <c r="I209" s="61"/>
      <c r="J209" s="61"/>
      <c r="K209" s="61"/>
      <c r="L209" s="61"/>
      <c r="M209" s="61"/>
    </row>
    <row r="210" spans="1:13" outlineLevel="7" x14ac:dyDescent="0.2">
      <c r="A210" s="133" t="s">
        <v>145</v>
      </c>
      <c r="B210" s="134"/>
      <c r="C210" s="135"/>
      <c r="D210" s="134"/>
      <c r="E210" s="134"/>
      <c r="F210" s="136">
        <f t="shared" ref="F210:M210" si="137">F211</f>
        <v>36100</v>
      </c>
      <c r="G210" s="136">
        <f t="shared" si="137"/>
        <v>36100</v>
      </c>
      <c r="H210" s="136">
        <f t="shared" si="137"/>
        <v>44848</v>
      </c>
      <c r="I210" s="136">
        <f t="shared" si="137"/>
        <v>49434</v>
      </c>
      <c r="J210" s="136">
        <f t="shared" si="137"/>
        <v>54097</v>
      </c>
      <c r="K210" s="136">
        <f t="shared" si="137"/>
        <v>44848</v>
      </c>
      <c r="L210" s="136">
        <f t="shared" si="137"/>
        <v>49434</v>
      </c>
      <c r="M210" s="136">
        <f t="shared" si="137"/>
        <v>54097</v>
      </c>
    </row>
    <row r="211" spans="1:13" x14ac:dyDescent="0.2">
      <c r="A211" s="130" t="s">
        <v>48</v>
      </c>
      <c r="B211" s="131"/>
      <c r="C211" s="132"/>
      <c r="D211" s="131"/>
      <c r="E211" s="131"/>
      <c r="F211" s="70">
        <f t="shared" ref="F211:M211" si="138">F212</f>
        <v>36100</v>
      </c>
      <c r="G211" s="70">
        <f t="shared" si="138"/>
        <v>36100</v>
      </c>
      <c r="H211" s="70">
        <f t="shared" si="138"/>
        <v>44848</v>
      </c>
      <c r="I211" s="70">
        <f t="shared" si="138"/>
        <v>49434</v>
      </c>
      <c r="J211" s="70">
        <f t="shared" si="138"/>
        <v>54097</v>
      </c>
      <c r="K211" s="70">
        <f t="shared" si="138"/>
        <v>44848</v>
      </c>
      <c r="L211" s="70">
        <f t="shared" si="138"/>
        <v>49434</v>
      </c>
      <c r="M211" s="70">
        <f t="shared" si="138"/>
        <v>54097</v>
      </c>
    </row>
    <row r="212" spans="1:13" ht="25.5" x14ac:dyDescent="0.2">
      <c r="A212" s="6" t="s">
        <v>49</v>
      </c>
      <c r="B212" s="16" t="s">
        <v>50</v>
      </c>
      <c r="C212" s="17"/>
      <c r="D212" s="16"/>
      <c r="E212" s="16"/>
      <c r="F212" s="57">
        <f t="shared" ref="F212" si="139">F213+F214</f>
        <v>36100</v>
      </c>
      <c r="G212" s="57">
        <f t="shared" ref="G212" si="140">G213+G214</f>
        <v>36100</v>
      </c>
      <c r="H212" s="57">
        <f t="shared" ref="H212:J212" si="141">H213+H214</f>
        <v>44848</v>
      </c>
      <c r="I212" s="57">
        <f t="shared" si="141"/>
        <v>49434</v>
      </c>
      <c r="J212" s="57">
        <f t="shared" si="141"/>
        <v>54097</v>
      </c>
      <c r="K212" s="57">
        <f t="shared" ref="K212:M212" si="142">K213+K214</f>
        <v>44848</v>
      </c>
      <c r="L212" s="57">
        <f t="shared" si="142"/>
        <v>49434</v>
      </c>
      <c r="M212" s="57">
        <f t="shared" si="142"/>
        <v>54097</v>
      </c>
    </row>
    <row r="213" spans="1:13" x14ac:dyDescent="0.2">
      <c r="A213" s="4" t="s">
        <v>51</v>
      </c>
      <c r="B213" s="18" t="s">
        <v>50</v>
      </c>
      <c r="C213" s="41" t="s">
        <v>61</v>
      </c>
      <c r="D213" s="18" t="s">
        <v>18</v>
      </c>
      <c r="E213" s="18" t="s">
        <v>52</v>
      </c>
      <c r="F213" s="59">
        <v>27727</v>
      </c>
      <c r="G213" s="59">
        <v>27727</v>
      </c>
      <c r="H213" s="59">
        <v>34446</v>
      </c>
      <c r="I213" s="59">
        <v>37968</v>
      </c>
      <c r="J213" s="59">
        <v>41549</v>
      </c>
      <c r="K213" s="59">
        <v>34446</v>
      </c>
      <c r="L213" s="59">
        <v>37968</v>
      </c>
      <c r="M213" s="59">
        <v>41549</v>
      </c>
    </row>
    <row r="214" spans="1:13" x14ac:dyDescent="0.2">
      <c r="A214" s="4" t="s">
        <v>53</v>
      </c>
      <c r="B214" s="18" t="s">
        <v>50</v>
      </c>
      <c r="C214" s="41" t="s">
        <v>61</v>
      </c>
      <c r="D214" s="18" t="s">
        <v>55</v>
      </c>
      <c r="E214" s="18" t="s">
        <v>52</v>
      </c>
      <c r="F214" s="59">
        <v>8373</v>
      </c>
      <c r="G214" s="59">
        <v>8373</v>
      </c>
      <c r="H214" s="59">
        <v>10402</v>
      </c>
      <c r="I214" s="59">
        <v>11466</v>
      </c>
      <c r="J214" s="59">
        <v>12548</v>
      </c>
      <c r="K214" s="59">
        <v>10402</v>
      </c>
      <c r="L214" s="59">
        <v>11466</v>
      </c>
      <c r="M214" s="59">
        <v>12548</v>
      </c>
    </row>
    <row r="215" spans="1:13" x14ac:dyDescent="0.2">
      <c r="F215" s="5"/>
      <c r="G215" s="5"/>
      <c r="H215" s="5"/>
      <c r="I215" s="5"/>
      <c r="J215" s="5"/>
      <c r="K215" s="5"/>
      <c r="L215" s="5"/>
      <c r="M215" s="5"/>
    </row>
    <row r="216" spans="1:13" x14ac:dyDescent="0.2">
      <c r="F216" s="5"/>
      <c r="G216" s="5"/>
      <c r="H216" s="5"/>
      <c r="I216" s="5"/>
      <c r="J216" s="5"/>
      <c r="K216" s="5"/>
      <c r="L216" s="5"/>
      <c r="M216" s="5"/>
    </row>
    <row r="217" spans="1:13" x14ac:dyDescent="0.2">
      <c r="A217" s="12" t="s">
        <v>159</v>
      </c>
      <c r="F217" s="5"/>
      <c r="G217" s="5"/>
      <c r="H217" s="5"/>
      <c r="I217" s="5"/>
      <c r="J217" s="5"/>
      <c r="K217" s="5"/>
      <c r="L217" s="5"/>
      <c r="M217" s="5"/>
    </row>
    <row r="218" spans="1:13" x14ac:dyDescent="0.2">
      <c r="F218" s="5"/>
      <c r="G218" s="5"/>
      <c r="H218" s="5"/>
      <c r="I218" s="5"/>
      <c r="J218" s="5"/>
      <c r="K218" s="5"/>
      <c r="L218" s="5"/>
      <c r="M218" s="5"/>
    </row>
    <row r="219" spans="1:13" x14ac:dyDescent="0.2">
      <c r="F219" s="5"/>
      <c r="G219" s="5"/>
      <c r="H219" s="5"/>
      <c r="I219" s="5"/>
      <c r="J219" s="5"/>
      <c r="K219" s="5"/>
      <c r="L219" s="5"/>
      <c r="M219" s="5"/>
    </row>
    <row r="220" spans="1:13" x14ac:dyDescent="0.2">
      <c r="F220" s="5"/>
      <c r="G220" s="5"/>
      <c r="H220" s="5"/>
      <c r="I220" s="5"/>
      <c r="J220" s="5"/>
      <c r="K220" s="5"/>
      <c r="L220" s="5"/>
      <c r="M220" s="5"/>
    </row>
    <row r="221" spans="1:13" x14ac:dyDescent="0.2">
      <c r="F221" s="5"/>
      <c r="G221" s="5"/>
      <c r="H221" s="5"/>
      <c r="I221" s="5"/>
      <c r="J221" s="5"/>
      <c r="K221" s="5"/>
      <c r="L221" s="5"/>
      <c r="M221" s="5"/>
    </row>
    <row r="222" spans="1:13" x14ac:dyDescent="0.2">
      <c r="A222" s="12" t="s">
        <v>83</v>
      </c>
      <c r="F222" s="5"/>
      <c r="G222" s="5"/>
      <c r="H222" s="5"/>
      <c r="I222" s="5"/>
      <c r="J222" s="5"/>
      <c r="K222" s="5"/>
      <c r="L222" s="5"/>
      <c r="M222" s="5"/>
    </row>
    <row r="223" spans="1:13" x14ac:dyDescent="0.2">
      <c r="F223" s="5"/>
      <c r="G223" s="5"/>
      <c r="H223" s="5"/>
      <c r="I223" s="5"/>
      <c r="J223" s="5"/>
      <c r="K223" s="5"/>
      <c r="L223" s="5"/>
      <c r="M223" s="5"/>
    </row>
    <row r="224" spans="1:13" x14ac:dyDescent="0.2">
      <c r="F224" s="5"/>
      <c r="G224" s="5"/>
      <c r="H224" s="5"/>
      <c r="I224" s="5"/>
      <c r="J224" s="5"/>
      <c r="K224" s="5"/>
      <c r="L224" s="5"/>
      <c r="M224" s="5"/>
    </row>
    <row r="225" spans="6:13" x14ac:dyDescent="0.2">
      <c r="F225" s="5"/>
      <c r="G225" s="5"/>
      <c r="H225" s="5"/>
      <c r="I225" s="5"/>
      <c r="J225" s="5"/>
      <c r="K225" s="5"/>
      <c r="L225" s="5"/>
      <c r="M225" s="5"/>
    </row>
    <row r="226" spans="6:13" x14ac:dyDescent="0.2">
      <c r="F226" s="5"/>
      <c r="G226" s="5"/>
      <c r="H226" s="5"/>
      <c r="I226" s="5"/>
      <c r="J226" s="5"/>
      <c r="K226" s="5"/>
      <c r="L226" s="5"/>
      <c r="M226" s="5"/>
    </row>
    <row r="227" spans="6:13" x14ac:dyDescent="0.2">
      <c r="F227" s="5"/>
      <c r="G227" s="5"/>
      <c r="H227" s="5"/>
      <c r="I227" s="5"/>
      <c r="J227" s="5"/>
      <c r="K227" s="5"/>
      <c r="L227" s="5"/>
      <c r="M227" s="5"/>
    </row>
    <row r="228" spans="6:13" x14ac:dyDescent="0.2">
      <c r="F228" s="5"/>
      <c r="G228" s="5"/>
      <c r="H228" s="5"/>
      <c r="I228" s="5"/>
      <c r="J228" s="5"/>
      <c r="K228" s="5"/>
      <c r="L228" s="5"/>
      <c r="M228" s="5"/>
    </row>
    <row r="229" spans="6:13" x14ac:dyDescent="0.2">
      <c r="F229" s="5"/>
      <c r="G229" s="5"/>
      <c r="H229" s="5"/>
      <c r="I229" s="5"/>
      <c r="J229" s="5"/>
      <c r="K229" s="5"/>
      <c r="L229" s="5"/>
      <c r="M229" s="5"/>
    </row>
    <row r="230" spans="6:13" x14ac:dyDescent="0.2">
      <c r="F230" s="5"/>
      <c r="G230" s="5"/>
      <c r="H230" s="5"/>
      <c r="I230" s="5"/>
      <c r="J230" s="5"/>
      <c r="K230" s="5"/>
      <c r="L230" s="5"/>
      <c r="M230" s="5"/>
    </row>
    <row r="231" spans="6:13" x14ac:dyDescent="0.2">
      <c r="F231" s="5"/>
      <c r="G231" s="5"/>
      <c r="H231" s="5"/>
      <c r="I231" s="5"/>
      <c r="J231" s="5"/>
      <c r="K231" s="5"/>
      <c r="L231" s="5"/>
      <c r="M231" s="5"/>
    </row>
    <row r="232" spans="6:13" x14ac:dyDescent="0.2">
      <c r="F232" s="5"/>
      <c r="G232" s="5"/>
      <c r="H232" s="5"/>
      <c r="I232" s="5"/>
      <c r="J232" s="5"/>
      <c r="K232" s="5"/>
      <c r="L232" s="5"/>
      <c r="M232" s="5"/>
    </row>
    <row r="233" spans="6:13" x14ac:dyDescent="0.2">
      <c r="F233" s="5"/>
      <c r="G233" s="5"/>
      <c r="H233" s="5"/>
      <c r="I233" s="5"/>
      <c r="J233" s="5"/>
      <c r="K233" s="5"/>
      <c r="L233" s="5"/>
      <c r="M233" s="5"/>
    </row>
    <row r="234" spans="6:13" x14ac:dyDescent="0.2">
      <c r="F234" s="5"/>
      <c r="G234" s="5"/>
      <c r="H234" s="5"/>
      <c r="I234" s="5"/>
      <c r="J234" s="5"/>
      <c r="K234" s="5"/>
      <c r="L234" s="5"/>
      <c r="M234" s="5"/>
    </row>
    <row r="235" spans="6:13" x14ac:dyDescent="0.2">
      <c r="F235" s="5"/>
      <c r="G235" s="5"/>
      <c r="H235" s="5"/>
      <c r="I235" s="5"/>
      <c r="J235" s="5"/>
      <c r="K235" s="5"/>
      <c r="L235" s="5"/>
      <c r="M235" s="5"/>
    </row>
    <row r="236" spans="6:13" x14ac:dyDescent="0.2">
      <c r="F236" s="5"/>
      <c r="G236" s="5"/>
      <c r="H236" s="5"/>
      <c r="I236" s="5"/>
      <c r="J236" s="5"/>
      <c r="K236" s="5"/>
      <c r="L236" s="5"/>
      <c r="M236" s="5"/>
    </row>
    <row r="237" spans="6:13" x14ac:dyDescent="0.2">
      <c r="F237" s="5"/>
      <c r="G237" s="5"/>
      <c r="H237" s="5"/>
      <c r="I237" s="5"/>
      <c r="J237" s="5"/>
      <c r="K237" s="5"/>
      <c r="L237" s="5"/>
      <c r="M237" s="5"/>
    </row>
    <row r="238" spans="6:13" x14ac:dyDescent="0.2">
      <c r="F238" s="5"/>
      <c r="G238" s="5"/>
      <c r="H238" s="5"/>
      <c r="I238" s="5"/>
      <c r="J238" s="5"/>
      <c r="K238" s="5"/>
      <c r="L238" s="5"/>
      <c r="M238" s="5"/>
    </row>
  </sheetData>
  <sheetProtection selectLockedCells="1" selectUnlockedCells="1"/>
  <mergeCells count="19">
    <mergeCell ref="B19:E19"/>
    <mergeCell ref="B100:E100"/>
    <mergeCell ref="B102:E102"/>
    <mergeCell ref="B116:E116"/>
    <mergeCell ref="B6:E6"/>
    <mergeCell ref="B8:E8"/>
    <mergeCell ref="B9:E9"/>
    <mergeCell ref="B12:E12"/>
    <mergeCell ref="B13:E13"/>
    <mergeCell ref="B15:E15"/>
    <mergeCell ref="A1:M1"/>
    <mergeCell ref="A2:M2"/>
    <mergeCell ref="A3:M3"/>
    <mergeCell ref="A4:A5"/>
    <mergeCell ref="B4:E4"/>
    <mergeCell ref="F4:F5"/>
    <mergeCell ref="H4:J4"/>
    <mergeCell ref="K4:M4"/>
    <mergeCell ref="G4:G5"/>
  </mergeCells>
  <pageMargins left="0.39370078740157483" right="0.19685039370078741" top="0.19685039370078741" bottom="0.39370078740157483" header="0.51181102362204722" footer="0.31496062992125984"/>
  <pageSetup paperSize="9" scale="68" firstPageNumber="0" fitToHeight="200" orientation="landscape" verticalDpi="300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5"/>
  <sheetViews>
    <sheetView workbookViewId="0">
      <selection activeCell="A5" sqref="A5:J15"/>
    </sheetView>
  </sheetViews>
  <sheetFormatPr defaultRowHeight="12.75" x14ac:dyDescent="0.2"/>
  <sheetData>
    <row r="2" spans="1:12" ht="15" x14ac:dyDescent="0.25">
      <c r="A2" s="281" t="s">
        <v>196</v>
      </c>
      <c r="B2" s="281"/>
      <c r="C2" s="281"/>
      <c r="D2" s="281"/>
      <c r="E2" s="281"/>
      <c r="F2" s="281"/>
      <c r="G2" s="281"/>
      <c r="H2" s="281"/>
      <c r="I2" s="281"/>
      <c r="J2" s="156"/>
    </row>
    <row r="3" spans="1:12" ht="15" x14ac:dyDescent="0.25">
      <c r="A3" s="156"/>
      <c r="B3" s="156"/>
      <c r="C3" s="156"/>
      <c r="D3" s="156"/>
      <c r="E3" s="156"/>
      <c r="F3" s="156"/>
      <c r="G3" s="156"/>
      <c r="H3" s="156"/>
      <c r="I3" s="156"/>
      <c r="J3" s="156"/>
    </row>
    <row r="4" spans="1:12" ht="15" x14ac:dyDescent="0.25">
      <c r="A4" s="156"/>
      <c r="B4" s="156"/>
      <c r="C4" s="156"/>
      <c r="D4" s="156"/>
      <c r="E4" s="156"/>
      <c r="F4" s="156"/>
      <c r="G4" s="156"/>
      <c r="H4" s="156"/>
      <c r="I4" s="156"/>
      <c r="J4" s="156"/>
    </row>
    <row r="5" spans="1:12" ht="75" x14ac:dyDescent="0.25">
      <c r="A5" s="229"/>
      <c r="B5" s="230" t="s">
        <v>220</v>
      </c>
      <c r="C5" s="230" t="s">
        <v>164</v>
      </c>
      <c r="D5" s="230" t="s">
        <v>191</v>
      </c>
      <c r="E5" s="230" t="s">
        <v>192</v>
      </c>
      <c r="F5" s="230" t="s">
        <v>195</v>
      </c>
      <c r="G5" s="230" t="s">
        <v>191</v>
      </c>
      <c r="H5" s="230" t="s">
        <v>192</v>
      </c>
      <c r="I5" s="230" t="s">
        <v>165</v>
      </c>
      <c r="J5" s="231" t="s">
        <v>166</v>
      </c>
    </row>
    <row r="6" spans="1:12" ht="15" x14ac:dyDescent="0.25">
      <c r="A6" s="282" t="s">
        <v>235</v>
      </c>
      <c r="B6" s="283"/>
      <c r="C6" s="283"/>
      <c r="D6" s="283"/>
      <c r="E6" s="283"/>
      <c r="F6" s="283"/>
      <c r="G6" s="283"/>
      <c r="H6" s="283"/>
      <c r="I6" s="284"/>
      <c r="J6" s="232"/>
    </row>
    <row r="7" spans="1:12" ht="15" x14ac:dyDescent="0.25">
      <c r="A7" s="285" t="s">
        <v>193</v>
      </c>
      <c r="B7" s="285"/>
      <c r="C7" s="285"/>
      <c r="D7" s="285"/>
      <c r="E7" s="285"/>
      <c r="F7" s="285"/>
      <c r="G7" s="285"/>
      <c r="H7" s="285"/>
      <c r="I7" s="285"/>
      <c r="J7" s="232"/>
    </row>
    <row r="8" spans="1:12" ht="45" x14ac:dyDescent="0.25">
      <c r="A8" s="233" t="s">
        <v>167</v>
      </c>
      <c r="B8" s="234">
        <v>11876</v>
      </c>
      <c r="C8" s="235">
        <v>39</v>
      </c>
      <c r="D8" s="235">
        <v>9</v>
      </c>
      <c r="E8" s="235">
        <f>B8*C8/12*D8</f>
        <v>347373</v>
      </c>
      <c r="F8" s="236">
        <v>1</v>
      </c>
      <c r="G8" s="235">
        <v>3</v>
      </c>
      <c r="H8" s="235">
        <f>B8*F8*C8/12*G8</f>
        <v>115791</v>
      </c>
      <c r="I8" s="235">
        <f>E8+H8</f>
        <v>463164</v>
      </c>
      <c r="J8" s="237">
        <f>I8*30.2%</f>
        <v>139875.52799999999</v>
      </c>
    </row>
    <row r="9" spans="1:12" ht="15" x14ac:dyDescent="0.25">
      <c r="A9" s="285" t="s">
        <v>168</v>
      </c>
      <c r="B9" s="285"/>
      <c r="C9" s="285"/>
      <c r="D9" s="285"/>
      <c r="E9" s="285"/>
      <c r="F9" s="285"/>
      <c r="G9" s="285"/>
      <c r="H9" s="285"/>
      <c r="I9" s="285"/>
      <c r="J9" s="232"/>
    </row>
    <row r="10" spans="1:12" ht="60" x14ac:dyDescent="0.25">
      <c r="A10" s="232" t="s">
        <v>169</v>
      </c>
      <c r="B10" s="235">
        <v>8908</v>
      </c>
      <c r="C10" s="235">
        <v>39</v>
      </c>
      <c r="D10" s="235">
        <v>9</v>
      </c>
      <c r="E10" s="235">
        <f>B10*C10/12*D10</f>
        <v>260559</v>
      </c>
      <c r="F10" s="236">
        <v>1</v>
      </c>
      <c r="G10" s="235">
        <v>3</v>
      </c>
      <c r="H10" s="235">
        <f>B10*F10*C10/12*G10</f>
        <v>86853</v>
      </c>
      <c r="I10" s="235">
        <f>E10+H10</f>
        <v>347412</v>
      </c>
      <c r="J10" s="237">
        <f t="shared" ref="J10:J14" si="0">I10*30.2%</f>
        <v>104918.424</v>
      </c>
    </row>
    <row r="11" spans="1:12" ht="15" x14ac:dyDescent="0.25">
      <c r="A11" s="229" t="s">
        <v>194</v>
      </c>
      <c r="B11" s="235"/>
      <c r="C11" s="235">
        <v>37</v>
      </c>
      <c r="D11" s="235">
        <v>9</v>
      </c>
      <c r="E11" s="235">
        <f t="shared" ref="E11:E12" si="1">B11*C11/12*D11</f>
        <v>0</v>
      </c>
      <c r="F11" s="236">
        <v>1</v>
      </c>
      <c r="G11" s="235">
        <v>3</v>
      </c>
      <c r="H11" s="235">
        <f t="shared" ref="H11:H12" si="2">B11*F11*C11/12*G11</f>
        <v>0</v>
      </c>
      <c r="I11" s="235">
        <f t="shared" ref="I11:I12" si="3">E11+H11</f>
        <v>0</v>
      </c>
      <c r="J11" s="237">
        <f t="shared" si="0"/>
        <v>0</v>
      </c>
    </row>
    <row r="12" spans="1:12" ht="15" x14ac:dyDescent="0.25">
      <c r="A12" s="229" t="s">
        <v>170</v>
      </c>
      <c r="B12" s="235">
        <v>2842</v>
      </c>
      <c r="C12" s="238">
        <v>37</v>
      </c>
      <c r="D12" s="235">
        <v>9</v>
      </c>
      <c r="E12" s="235">
        <f t="shared" si="1"/>
        <v>78865.5</v>
      </c>
      <c r="F12" s="236">
        <v>1</v>
      </c>
      <c r="G12" s="235">
        <v>3</v>
      </c>
      <c r="H12" s="235">
        <f t="shared" si="2"/>
        <v>26288.5</v>
      </c>
      <c r="I12" s="235">
        <f t="shared" si="3"/>
        <v>105154</v>
      </c>
      <c r="J12" s="237">
        <f t="shared" si="0"/>
        <v>31756.507999999998</v>
      </c>
    </row>
    <row r="13" spans="1:12" ht="15" x14ac:dyDescent="0.25">
      <c r="A13" s="278" t="s">
        <v>171</v>
      </c>
      <c r="B13" s="279"/>
      <c r="C13" s="279"/>
      <c r="D13" s="279"/>
      <c r="E13" s="279"/>
      <c r="F13" s="279"/>
      <c r="G13" s="279"/>
      <c r="H13" s="280"/>
      <c r="I13" s="239">
        <f>SUM(I10:I12)</f>
        <v>452566</v>
      </c>
      <c r="J13" s="240">
        <f t="shared" si="0"/>
        <v>136674.932</v>
      </c>
    </row>
    <row r="14" spans="1:12" ht="15" x14ac:dyDescent="0.25">
      <c r="A14" s="278" t="s">
        <v>172</v>
      </c>
      <c r="B14" s="279"/>
      <c r="C14" s="279"/>
      <c r="D14" s="279"/>
      <c r="E14" s="279"/>
      <c r="F14" s="279"/>
      <c r="G14" s="279"/>
      <c r="H14" s="280"/>
      <c r="I14" s="239">
        <f>I8+I13</f>
        <v>915730</v>
      </c>
      <c r="J14" s="240">
        <f t="shared" si="0"/>
        <v>276550.45999999996</v>
      </c>
      <c r="L14" s="223"/>
    </row>
    <row r="15" spans="1:12" x14ac:dyDescent="0.2">
      <c r="A15" s="241"/>
      <c r="B15" s="241"/>
      <c r="C15" s="241"/>
      <c r="D15" s="241"/>
      <c r="E15" s="241"/>
      <c r="F15" s="241"/>
      <c r="G15" s="241"/>
      <c r="H15" s="241"/>
      <c r="I15" s="241"/>
      <c r="J15" s="241"/>
    </row>
  </sheetData>
  <mergeCells count="6">
    <mergeCell ref="A14:H14"/>
    <mergeCell ref="A2:I2"/>
    <mergeCell ref="A6:I6"/>
    <mergeCell ref="A7:I7"/>
    <mergeCell ref="A9:I9"/>
    <mergeCell ref="A13:H13"/>
  </mergeCells>
  <pageMargins left="0.70866141732283472" right="0.11811023622047245" top="0.15748031496062992" bottom="0.15748031496062992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первоначальный</vt:lpstr>
      <vt:lpstr>зарплата с индексацией</vt:lpstr>
      <vt:lpstr>первоначальный!Заголовки_для_печати</vt:lpstr>
      <vt:lpstr>первоначальный!Область_печати</vt:lpstr>
    </vt:vector>
  </TitlesOfParts>
  <Company>Министерство финансовК.О.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МОСП Хвощи</cp:lastModifiedBy>
  <cp:lastPrinted>2023-10-24T06:59:28Z</cp:lastPrinted>
  <dcterms:created xsi:type="dcterms:W3CDTF">2015-11-17T09:03:11Z</dcterms:created>
  <dcterms:modified xsi:type="dcterms:W3CDTF">2023-11-20T07:38:21Z</dcterms:modified>
</cp:coreProperties>
</file>